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GHF\Desktop\CLAUDE CODE\casa-6x25\"/>
    </mc:Choice>
  </mc:AlternateContent>
  <xr:revisionPtr revIDLastSave="0" documentId="13_ncr:1_{C18B5874-0255-4E12-B7CD-07A530B7C99E}" xr6:coauthVersionLast="47" xr6:coauthVersionMax="47" xr10:uidLastSave="{00000000-0000-0000-0000-000000000000}"/>
  <bookViews>
    <workbookView xWindow="1080" yWindow="1080" windowWidth="16584" windowHeight="9420" xr2:uid="{00000000-000D-0000-FFFF-FFFF00000000}"/>
  </bookViews>
  <sheets>
    <sheet name="Como usar" sheetId="1" r:id="rId1"/>
    <sheet name="Premissas" sheetId="2" r:id="rId2"/>
    <sheet name="Orçamento" sheetId="3" r:id="rId3"/>
    <sheet name="Cronograma" sheetId="4" r:id="rId4"/>
    <sheet name="Extras por estil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4" i="4" l="1"/>
  <c r="K44" i="4" s="1"/>
  <c r="L44" i="4" s="1"/>
  <c r="B43" i="4"/>
  <c r="K43" i="4" s="1"/>
  <c r="L43" i="4" s="1"/>
  <c r="B42" i="4"/>
  <c r="D42" i="4" s="1"/>
  <c r="B41" i="4"/>
  <c r="D41" i="4" s="1"/>
  <c r="L41" i="4" s="1"/>
  <c r="B40" i="4"/>
  <c r="C40" i="4" s="1"/>
  <c r="L40" i="4" s="1"/>
  <c r="B39" i="4"/>
  <c r="C39" i="4" s="1"/>
  <c r="L39" i="4" s="1"/>
  <c r="B38" i="4"/>
  <c r="C38" i="4" s="1"/>
  <c r="L38" i="4" s="1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J5" i="4"/>
  <c r="I5" i="4"/>
  <c r="H5" i="4"/>
  <c r="G5" i="4"/>
  <c r="F5" i="4"/>
  <c r="E5" i="4"/>
  <c r="D5" i="4"/>
  <c r="B2" i="4"/>
  <c r="I30" i="3"/>
  <c r="D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E6" i="3"/>
  <c r="F5" i="3"/>
  <c r="B2" i="3"/>
  <c r="F11" i="2"/>
  <c r="B11" i="2"/>
  <c r="E17" i="3" s="1"/>
  <c r="G17" i="3" s="1"/>
  <c r="I17" i="3" s="1"/>
  <c r="B36" i="4" s="1"/>
  <c r="F10" i="2"/>
  <c r="G10" i="2" s="1"/>
  <c r="F9" i="2"/>
  <c r="F8" i="2"/>
  <c r="F7" i="2"/>
  <c r="F6" i="2"/>
  <c r="F5" i="2"/>
  <c r="F4" i="2"/>
  <c r="G4" i="2" s="1"/>
  <c r="G5" i="2" l="1"/>
  <c r="E7" i="3"/>
  <c r="G7" i="3" s="1"/>
  <c r="I7" i="3" s="1"/>
  <c r="B26" i="4" s="1"/>
  <c r="G6" i="2"/>
  <c r="G11" i="2"/>
  <c r="G6" i="3"/>
  <c r="I6" i="3" s="1"/>
  <c r="B25" i="4" s="1"/>
  <c r="J25" i="4" s="1"/>
  <c r="G8" i="2"/>
  <c r="F19" i="3"/>
  <c r="G7" i="2"/>
  <c r="E5" i="3"/>
  <c r="G5" i="3" s="1"/>
  <c r="I5" i="3" s="1"/>
  <c r="G9" i="2"/>
  <c r="E11" i="3"/>
  <c r="G11" i="3" s="1"/>
  <c r="I11" i="3" s="1"/>
  <c r="B30" i="4" s="1"/>
  <c r="K25" i="4"/>
  <c r="C25" i="4"/>
  <c r="K26" i="4"/>
  <c r="C26" i="4"/>
  <c r="J26" i="4"/>
  <c r="I26" i="4"/>
  <c r="H26" i="4"/>
  <c r="G26" i="4"/>
  <c r="F26" i="4"/>
  <c r="E26" i="4"/>
  <c r="D26" i="4"/>
  <c r="E36" i="4"/>
  <c r="D36" i="4"/>
  <c r="K36" i="4"/>
  <c r="C36" i="4"/>
  <c r="J36" i="4"/>
  <c r="I36" i="4"/>
  <c r="H36" i="4"/>
  <c r="G36" i="4"/>
  <c r="F36" i="4"/>
  <c r="B24" i="4"/>
  <c r="G30" i="4"/>
  <c r="F30" i="4"/>
  <c r="E30" i="4"/>
  <c r="D30" i="4"/>
  <c r="K30" i="4"/>
  <c r="C30" i="4"/>
  <c r="J30" i="4"/>
  <c r="I30" i="4"/>
  <c r="H30" i="4"/>
  <c r="E14" i="3"/>
  <c r="G14" i="3" s="1"/>
  <c r="I14" i="3" s="1"/>
  <c r="B33" i="4" s="1"/>
  <c r="E42" i="4"/>
  <c r="L42" i="4" s="1"/>
  <c r="E8" i="3"/>
  <c r="G8" i="3" s="1"/>
  <c r="I8" i="3" s="1"/>
  <c r="B27" i="4" s="1"/>
  <c r="E16" i="3"/>
  <c r="G16" i="3" s="1"/>
  <c r="I16" i="3" s="1"/>
  <c r="B35" i="4" s="1"/>
  <c r="E13" i="3"/>
  <c r="G13" i="3" s="1"/>
  <c r="I13" i="3" s="1"/>
  <c r="B32" i="4" s="1"/>
  <c r="E10" i="3"/>
  <c r="G10" i="3" s="1"/>
  <c r="I10" i="3" s="1"/>
  <c r="B29" i="4" s="1"/>
  <c r="E18" i="3"/>
  <c r="G18" i="3" s="1"/>
  <c r="I18" i="3" s="1"/>
  <c r="B37" i="4" s="1"/>
  <c r="E15" i="3"/>
  <c r="G15" i="3" s="1"/>
  <c r="I15" i="3" s="1"/>
  <c r="B34" i="4" s="1"/>
  <c r="E12" i="3"/>
  <c r="G12" i="3" s="1"/>
  <c r="I12" i="3" s="1"/>
  <c r="B31" i="4" s="1"/>
  <c r="E9" i="3"/>
  <c r="G9" i="3" s="1"/>
  <c r="I9" i="3" s="1"/>
  <c r="B28" i="4" s="1"/>
  <c r="D25" i="4" l="1"/>
  <c r="E25" i="4"/>
  <c r="F25" i="4"/>
  <c r="H25" i="4"/>
  <c r="L25" i="4" s="1"/>
  <c r="I25" i="4"/>
  <c r="G25" i="4"/>
  <c r="D31" i="4"/>
  <c r="K31" i="4"/>
  <c r="C31" i="4"/>
  <c r="J31" i="4"/>
  <c r="I31" i="4"/>
  <c r="H31" i="4"/>
  <c r="G31" i="4"/>
  <c r="F31" i="4"/>
  <c r="E31" i="4"/>
  <c r="K34" i="4"/>
  <c r="C34" i="4"/>
  <c r="J34" i="4"/>
  <c r="I34" i="4"/>
  <c r="H34" i="4"/>
  <c r="G34" i="4"/>
  <c r="F34" i="4"/>
  <c r="E34" i="4"/>
  <c r="D34" i="4"/>
  <c r="J37" i="4"/>
  <c r="I37" i="4"/>
  <c r="H37" i="4"/>
  <c r="G37" i="4"/>
  <c r="F37" i="4"/>
  <c r="E37" i="4"/>
  <c r="D37" i="4"/>
  <c r="K37" i="4"/>
  <c r="C37" i="4"/>
  <c r="J29" i="4"/>
  <c r="I29" i="4"/>
  <c r="H29" i="4"/>
  <c r="G29" i="4"/>
  <c r="F29" i="4"/>
  <c r="E29" i="4"/>
  <c r="D29" i="4"/>
  <c r="K29" i="4"/>
  <c r="C29" i="4"/>
  <c r="I19" i="3"/>
  <c r="L30" i="4"/>
  <c r="H35" i="4"/>
  <c r="G35" i="4"/>
  <c r="F35" i="4"/>
  <c r="E35" i="4"/>
  <c r="D35" i="4"/>
  <c r="K35" i="4"/>
  <c r="C35" i="4"/>
  <c r="J35" i="4"/>
  <c r="I35" i="4"/>
  <c r="F33" i="4"/>
  <c r="E33" i="4"/>
  <c r="D33" i="4"/>
  <c r="K33" i="4"/>
  <c r="C33" i="4"/>
  <c r="J33" i="4"/>
  <c r="I33" i="4"/>
  <c r="H33" i="4"/>
  <c r="G33" i="4"/>
  <c r="G19" i="3"/>
  <c r="L36" i="4"/>
  <c r="I24" i="4"/>
  <c r="H24" i="4"/>
  <c r="G24" i="4"/>
  <c r="F24" i="4"/>
  <c r="E24" i="4"/>
  <c r="D24" i="4"/>
  <c r="K24" i="4"/>
  <c r="C24" i="4"/>
  <c r="J24" i="4"/>
  <c r="I32" i="4"/>
  <c r="H32" i="4"/>
  <c r="G32" i="4"/>
  <c r="F32" i="4"/>
  <c r="E32" i="4"/>
  <c r="D32" i="4"/>
  <c r="K32" i="4"/>
  <c r="C32" i="4"/>
  <c r="J32" i="4"/>
  <c r="E28" i="4"/>
  <c r="D28" i="4"/>
  <c r="K28" i="4"/>
  <c r="C28" i="4"/>
  <c r="J28" i="4"/>
  <c r="I28" i="4"/>
  <c r="H28" i="4"/>
  <c r="G28" i="4"/>
  <c r="F28" i="4"/>
  <c r="H27" i="4"/>
  <c r="G27" i="4"/>
  <c r="F27" i="4"/>
  <c r="E27" i="4"/>
  <c r="D27" i="4"/>
  <c r="K27" i="4"/>
  <c r="C27" i="4"/>
  <c r="J27" i="4"/>
  <c r="I27" i="4"/>
  <c r="E19" i="3"/>
  <c r="L26" i="4"/>
  <c r="K46" i="4" l="1"/>
  <c r="L28" i="4"/>
  <c r="D46" i="4"/>
  <c r="E46" i="4"/>
  <c r="F46" i="4"/>
  <c r="J13" i="3"/>
  <c r="J5" i="3"/>
  <c r="J7" i="3"/>
  <c r="I20" i="3"/>
  <c r="B54" i="4" s="1"/>
  <c r="J16" i="3"/>
  <c r="J8" i="3"/>
  <c r="J11" i="3"/>
  <c r="J14" i="3"/>
  <c r="J6" i="3"/>
  <c r="J17" i="3"/>
  <c r="J9" i="3"/>
  <c r="J12" i="3"/>
  <c r="J15" i="3"/>
  <c r="I32" i="3"/>
  <c r="I33" i="3" s="1"/>
  <c r="J18" i="3"/>
  <c r="J10" i="3"/>
  <c r="L33" i="4"/>
  <c r="L29" i="4"/>
  <c r="G46" i="4"/>
  <c r="H46" i="4"/>
  <c r="L32" i="4"/>
  <c r="J46" i="4"/>
  <c r="I46" i="4"/>
  <c r="L37" i="4"/>
  <c r="L34" i="4"/>
  <c r="L31" i="4"/>
  <c r="L27" i="4"/>
  <c r="L35" i="4"/>
  <c r="L24" i="4"/>
  <c r="C46" i="4"/>
  <c r="I47" i="4" l="1"/>
  <c r="I49" i="4" s="1"/>
  <c r="H47" i="4"/>
  <c r="H49" i="4" s="1"/>
  <c r="C49" i="4"/>
  <c r="L46" i="4"/>
  <c r="G47" i="4"/>
  <c r="G49" i="4" s="1"/>
  <c r="F47" i="4"/>
  <c r="F49" i="4" s="1"/>
  <c r="E47" i="4"/>
  <c r="E49" i="4" s="1"/>
  <c r="J47" i="4"/>
  <c r="J49" i="4" s="1"/>
  <c r="D47" i="4"/>
  <c r="K48" i="4" l="1"/>
  <c r="K49" i="4" s="1"/>
  <c r="L49" i="4" s="1"/>
  <c r="D49" i="4"/>
  <c r="L53" i="4"/>
  <c r="C50" i="4"/>
  <c r="C51" i="4" s="1"/>
  <c r="D50" i="4" l="1"/>
  <c r="E50" i="4" l="1"/>
  <c r="D51" i="4"/>
  <c r="F50" i="4" l="1"/>
  <c r="E51" i="4"/>
  <c r="G50" i="4" l="1"/>
  <c r="F51" i="4"/>
  <c r="H50" i="4" l="1"/>
  <c r="G51" i="4"/>
  <c r="I50" i="4" l="1"/>
  <c r="H51" i="4"/>
  <c r="J50" i="4" l="1"/>
  <c r="I51" i="4"/>
  <c r="K50" i="4" l="1"/>
  <c r="K51" i="4" s="1"/>
  <c r="J5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Claude</author>
  </authors>
  <commentList>
    <comment ref="B4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Lista com os 8 estilos do site casa-yats.pages.dev</t>
        </r>
      </text>
    </comment>
  </commentList>
</comments>
</file>

<file path=xl/sharedStrings.xml><?xml version="1.0" encoding="utf-8"?>
<sst xmlns="http://schemas.openxmlformats.org/spreadsheetml/2006/main" count="296" uniqueCount="169">
  <si>
    <t>Orçamento por etapa · Casa 6,5 × 25 m · Açailândia (MA)</t>
  </si>
  <si>
    <t>Como mexer</t>
  </si>
  <si>
    <t>1. Na aba Premissas, escolha o estilo na célula amarela B4 (lista com os 8 estilos).</t>
  </si>
  <si>
    <t>2. Texto AZUL é número que você pode mudar. Texto preto é fórmula: não apague.</t>
  </si>
  <si>
    <t>3. Quando chegar um orçamento de verdade, digite o valor na coluna amarela 'Orçamento real' da aba Orçamento.</t>
  </si>
  <si>
    <t xml:space="preserve">   Exemplo: o pedreiro cotou a fundação em R$ 16.500 → digite 16500 na linha da Fundação. A planilha passa a usar esse número.</t>
  </si>
  <si>
    <t>4. A aba Cronograma mostra quanto pagar em cada mês, já com a retenção de garantia.</t>
  </si>
  <si>
    <t>5. A aba Extras por estilo lista o que cada estilo soma ou tira da base. As linhas 'Todos' são os ajustes da planta 2 e valem para qualquer estilo.</t>
  </si>
  <si>
    <t>De onde vêm os números</t>
  </si>
  <si>
    <t>Base: IBGE/SINAPI, custo médio do Maranhão, agosto de 2026 (com desoneração): R$ 1.969,07/m². Nível A (dado oficial).</t>
  </si>
  <si>
    <t>Pesos por etapa: síntese de faixas de mercado para casa térrea (preliminares + fundação 10–15%, estrutura + alvenaria 20–25%, instalações 15–20%, acabamentos 30–40%). Nível C.</t>
  </si>
  <si>
    <t>Extras de cada estilo e custos fora da obra: estimativas de mercado. Nível C. Servem para comparar e planejar, não para fechar contrato.</t>
  </si>
  <si>
    <t>O custo SINAPI cobre material e mão de obra da construção. Não inclui terreno, projetos, taxas, muros e lucro de construtora: por isso eles aparecem à parte.</t>
  </si>
  <si>
    <t>Regras de pagamento embutidas</t>
  </si>
  <si>
    <t>Paga-se cada etapa só depois de medida. A cada medição retém-se 5% (ajustável), devolvidos na entrega.</t>
  </si>
  <si>
    <t>Início sugerido: junho, no período seco (julho tem em média 11 mm de chuva em Açailândia, agosto 5 mm), para cobrir a casa antes de novembro.</t>
  </si>
  <si>
    <t>Site do projeto, com maquete 3D, cômodos e guia: https://casa-yats.pages.dev</t>
  </si>
  <si>
    <t>Premissas</t>
  </si>
  <si>
    <t>Premissa</t>
  </si>
  <si>
    <t>Valor</t>
  </si>
  <si>
    <t>Fonte / observação</t>
  </si>
  <si>
    <t>Estilo</t>
  </si>
  <si>
    <t>Extras do estilo (R$)</t>
  </si>
  <si>
    <t>Total geral estimado (R$)</t>
  </si>
  <si>
    <t>Estilo escolhido</t>
  </si>
  <si>
    <t>YATS</t>
  </si>
  <si>
    <t>Escolha na lista. Muda os extras e o total em todas as abas.</t>
  </si>
  <si>
    <t>Área construída (m²)</t>
  </si>
  <si>
    <t>Casa de 5 × 16 m.</t>
  </si>
  <si>
    <t>Minimalista</t>
  </si>
  <si>
    <t>Custo SINAPI Maranhão (R$/m²)</t>
  </si>
  <si>
    <t>IBGE/SINAPI, custo médio do Maranhão, agosto de 2026 (com desoneração): R$ 1.969,07/m²</t>
  </si>
  <si>
    <t>Industrial</t>
  </si>
  <si>
    <t>Ajuste local (×)</t>
  </si>
  <si>
    <t>1,00 = média do Maranhão. Ajuste depois de ver 3 orçamentos em Açailândia.</t>
  </si>
  <si>
    <t>Rústico</t>
  </si>
  <si>
    <t>Imprevisto (% da obra)</t>
  </si>
  <si>
    <t>Reserva para o que der errado. Não entra no cronograma.</t>
  </si>
  <si>
    <t>Padrão</t>
  </si>
  <si>
    <t>Retenção por medição (%)</t>
  </si>
  <si>
    <t>Segura parte de cada pagamento até a entrega.</t>
  </si>
  <si>
    <t>Cobogó</t>
  </si>
  <si>
    <t>Início da obra</t>
  </si>
  <si>
    <t>Sugestão: junho, período seco.</t>
  </si>
  <si>
    <t>Eco</t>
  </si>
  <si>
    <t>Custo base da obra (R$)</t>
  </si>
  <si>
    <t>Área × custo SINAPI × ajuste.</t>
  </si>
  <si>
    <t>Telhado-sombra</t>
  </si>
  <si>
    <t>Comparação rápida entre os 8 estilos, com os mesmos custos fora da obra.</t>
  </si>
  <si>
    <t>Orçamento por etapa</t>
  </si>
  <si>
    <t>Estilo:</t>
  </si>
  <si>
    <t>Nº</t>
  </si>
  <si>
    <t>Etapa</t>
  </si>
  <si>
    <t>O que inclui</t>
  </si>
  <si>
    <t>Peso</t>
  </si>
  <si>
    <t>Base SINAPI (R$)</t>
  </si>
  <si>
    <t>Estimado (R$)</t>
  </si>
  <si>
    <t>Orçamento real (preencher)</t>
  </si>
  <si>
    <t>Valor usado (R$)</t>
  </si>
  <si>
    <t>% do total</t>
  </si>
  <si>
    <t>Serviços preliminares</t>
  </si>
  <si>
    <t>Canteiro, ligação provisória, limpeza e locação da obra</t>
  </si>
  <si>
    <t>Fundação</t>
  </si>
  <si>
    <t>Escavação, sapatas ou estacas, vigas baldrame e impermeabilização</t>
  </si>
  <si>
    <t>Estrutura</t>
  </si>
  <si>
    <t>Pilares, vigas e laje</t>
  </si>
  <si>
    <t>Alvenaria</t>
  </si>
  <si>
    <t>Paredes, vergas e contravergas</t>
  </si>
  <si>
    <t>Cobertura</t>
  </si>
  <si>
    <t>Impermeabilização da laje, platibanda, rufos e calhas (ou telhado)</t>
  </si>
  <si>
    <t>Instalações hidrossanitárias</t>
  </si>
  <si>
    <t>Água fria, esgoto, caixa d'água e fossa ou rede</t>
  </si>
  <si>
    <t>Instalações elétricas</t>
  </si>
  <si>
    <t>Quadro, eletrodutos, fiação, tomadas e luminárias básicas</t>
  </si>
  <si>
    <t>Esquadrias</t>
  </si>
  <si>
    <t>Portas, janelas, vidros e ferragens</t>
  </si>
  <si>
    <t>Revestimento de paredes</t>
  </si>
  <si>
    <t>Chapisco, reboco, cerâmica de cozinha e banheiros</t>
  </si>
  <si>
    <t>Pisos</t>
  </si>
  <si>
    <t>Contrapiso, porcelanato e rodapé</t>
  </si>
  <si>
    <t>Forro e pintura</t>
  </si>
  <si>
    <t>Forro de gesso, massa e pintura interna e externa</t>
  </si>
  <si>
    <t>Louças, metais e bancadas</t>
  </si>
  <si>
    <t>Vasos, cubas, torneiras, chuveiros e bancadas de granito</t>
  </si>
  <si>
    <t>Área externa</t>
  </si>
  <si>
    <t>Calçadas, vaga, jardim e corredor lateral</t>
  </si>
  <si>
    <t>Limpeza e entrega</t>
  </si>
  <si>
    <t>Limpeza final, ajustes e vistoria</t>
  </si>
  <si>
    <t>Subtotal da obra</t>
  </si>
  <si>
    <t>A coluna Peso precisa somar 100%.</t>
  </si>
  <si>
    <t>Imprevisto (reserva)</t>
  </si>
  <si>
    <t>Percentual definido em Premissas.</t>
  </si>
  <si>
    <t>Custos fora da obra</t>
  </si>
  <si>
    <t>Observação</t>
  </si>
  <si>
    <t>Quando</t>
  </si>
  <si>
    <t>Valor (R$)</t>
  </si>
  <si>
    <t>Projetos (legal, estrutural, elétrico, hidráulico)</t>
  </si>
  <si>
    <t>Faixa de mercado R$ 1,6 a 14,4 mil para 80 m² (nível C)</t>
  </si>
  <si>
    <t>Antes da obra</t>
  </si>
  <si>
    <t>ART ou RRT dos responsáveis técnicos</t>
  </si>
  <si>
    <t>Estimativa; valor exato no CREA ou CAU</t>
  </si>
  <si>
    <t>Alvará e taxas da prefeitura</t>
  </si>
  <si>
    <t>Estimativa; confirmar na Prefeitura de Açailândia</t>
  </si>
  <si>
    <t>Ligações definitivas de água e luz</t>
  </si>
  <si>
    <t>Estimativa; depende da concessionária</t>
  </si>
  <si>
    <t>Mês 1</t>
  </si>
  <si>
    <t>Muros (cerca de 89 m² a 2,2 m) e portão</t>
  </si>
  <si>
    <t>Estimativa a R$ 150–220/m² de muro; fazer cedo dá segurança ao canteiro</t>
  </si>
  <si>
    <t>Meses 1 e 2</t>
  </si>
  <si>
    <t>INSS da obra (pessoa física)</t>
  </si>
  <si>
    <t>Estimativa grosseira; calcular no SERO com contador</t>
  </si>
  <si>
    <t>Depois da obra</t>
  </si>
  <si>
    <t>Habite-se e averbação no cartório</t>
  </si>
  <si>
    <t>Estimativa; taxas municipais e de cartório</t>
  </si>
  <si>
    <t>Subtotal fora da obra</t>
  </si>
  <si>
    <t>TOTAL GERAL (obra + imprevisto + fora da obra)</t>
  </si>
  <si>
    <t>Custo por m² construído</t>
  </si>
  <si>
    <t>Cronograma físico-financeiro</t>
  </si>
  <si>
    <t>Antes</t>
  </si>
  <si>
    <t>Mês 2</t>
  </si>
  <si>
    <t>Mês 3</t>
  </si>
  <si>
    <t>Mês 4</t>
  </si>
  <si>
    <t>Mês 5</t>
  </si>
  <si>
    <t>Mês 6</t>
  </si>
  <si>
    <t>Mês 7</t>
  </si>
  <si>
    <t>Depois</t>
  </si>
  <si>
    <t>Soma</t>
  </si>
  <si>
    <t>Mês de calendário</t>
  </si>
  <si>
    <t>1) Quanto de cada etapa é executado em cada mês (%)</t>
  </si>
  <si>
    <t>2) Valor medido em cada mês (R$)</t>
  </si>
  <si>
    <t>Medido no mês</t>
  </si>
  <si>
    <t>Retenção de garantia</t>
  </si>
  <si>
    <t>Devolução da retenção</t>
  </si>
  <si>
    <t>Pagar no mês</t>
  </si>
  <si>
    <t>Pago acumulado</t>
  </si>
  <si>
    <t>% pago do total</t>
  </si>
  <si>
    <t>Conferência: total do cronograma = obra + fora da obra (sem imprevisto)</t>
  </si>
  <si>
    <t>Reserva de imprevisto (usar só se precisar)</t>
  </si>
  <si>
    <t>O que cada estilo soma ou tira da base (R$)</t>
  </si>
  <si>
    <t>Item</t>
  </si>
  <si>
    <t>Raia d'água 3,5 × 2,3 m e deck de teca</t>
  </si>
  <si>
    <t>Estimativa de mercado (nível C)</t>
  </si>
  <si>
    <t>Vidro do piso ao teto na sala e na suíte</t>
  </si>
  <si>
    <t>Porta pivotante de madeira de 2,8 m</t>
  </si>
  <si>
    <t>Travertino na vaga e no corredor</t>
  </si>
  <si>
    <t>Raia d'água 3,5 × 2,3 m e deck</t>
  </si>
  <si>
    <t>Vidro do piso ao teto e porta pivotante</t>
  </si>
  <si>
    <t>Laje em balanço de 1,1 m</t>
  </si>
  <si>
    <t>Porcelanato grande formato</t>
  </si>
  <si>
    <t>Concreto aparente com fôrma de madeira</t>
  </si>
  <si>
    <t>Caixa de aço no vidro e porta pivotante</t>
  </si>
  <si>
    <t>Painel de aço corten</t>
  </si>
  <si>
    <t>Madeiramento e telha cerâmica aparente</t>
  </si>
  <si>
    <t>Varanda de madeira coberta</t>
  </si>
  <si>
    <t>Base de pedra e venezianas</t>
  </si>
  <si>
    <t>Laje em balanço de 70 cm</t>
  </si>
  <si>
    <t>Cerca de 14 m² de cobogó cerâmico assentado</t>
  </si>
  <si>
    <t>Jardim entre o cobogó e o vidro</t>
  </si>
  <si>
    <t>Sem reboco interno e externo (tijolo aparente)</t>
  </si>
  <si>
    <t>Alvenaria modular de solo-cimento no lugar de parte da estrutura</t>
  </si>
  <si>
    <t>Cisterna de 2 mil litros, calhas e filtro</t>
  </si>
  <si>
    <t>Menos argamassa de assentamento</t>
  </si>
  <si>
    <t>Estrutura metálica e cerca de 117 m² de telha termoacústica</t>
  </si>
  <si>
    <t>Brises verticais de madeira</t>
  </si>
  <si>
    <t>Todos</t>
  </si>
  <si>
    <t>Planta 2: lanternim ventilado sobre a circulação e claraboia no banheiro</t>
  </si>
  <si>
    <t>Planta 2: porta externa da lavanderia</t>
  </si>
  <si>
    <t>Planta 2: pontos de água e esgoto da lavanderia interna</t>
  </si>
  <si>
    <t>Planta 2: banheiro social menor (menos cerâmica e reboco)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</si>
</sst>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&quot;R$&quot;\ #,##0.00"/>
    <numFmt numFmtId="166" formatCode="0.0%;\(0.0%\);&quot;-&quot;"/>
    <numFmt numFmtId="167" formatCode="&quot;R$&quot;\ #,##0;\(&quot;R$&quot;\ #,##0\);&quot;-&quot;"/>
  </numFmts>
  <fonts count="11" x14ac:knownFonts="1">
    <font>
      <sz val="11"/>
      <color theme="1"/>
      <name val="Calibri"/>
      <family val="2"/>
      <scheme val="minor"/>
    </font>
    <font>
      <b/>
      <sz val="14"/>
      <color rgb="FF0E2B1D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sz val="10"/>
      <color rgb="FF0000FF"/>
      <name val="Arial"/>
    </font>
    <font>
      <i/>
      <sz val="9"/>
      <color rgb="FF5F6B67"/>
      <name val="Arial"/>
    </font>
    <font>
      <b/>
      <sz val="11"/>
      <color rgb="FF008000"/>
      <name val="Arial"/>
    </font>
    <font>
      <b/>
      <sz val="11"/>
      <name val="Arial"/>
    </font>
    <font>
      <sz val="10"/>
      <color rgb="FF008000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0E2B1D"/>
      </patternFill>
    </fill>
    <fill>
      <patternFill patternType="solid">
        <fgColor rgb="FFFFFF00"/>
      </patternFill>
    </fill>
    <fill>
      <patternFill patternType="solid">
        <fgColor rgb="FFE8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0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vertical="top" wrapText="1"/>
    </xf>
    <xf numFmtId="167" fontId="10" fillId="0" borderId="0" xfId="0" applyNumberFormat="1" applyFont="1"/>
    <xf numFmtId="0" fontId="5" fillId="0" borderId="0" xfId="0" applyFont="1"/>
    <xf numFmtId="165" fontId="5" fillId="0" borderId="0" xfId="0" applyNumberFormat="1" applyFont="1"/>
    <xf numFmtId="2" fontId="5" fillId="0" borderId="0" xfId="0" applyNumberFormat="1" applyFont="1"/>
    <xf numFmtId="166" fontId="5" fillId="0" borderId="0" xfId="0" applyNumberFormat="1" applyFont="1"/>
    <xf numFmtId="14" fontId="5" fillId="0" borderId="0" xfId="0" applyNumberFormat="1" applyFont="1"/>
    <xf numFmtId="0" fontId="2" fillId="0" borderId="0" xfId="0" applyFont="1"/>
    <xf numFmtId="167" fontId="2" fillId="0" borderId="0" xfId="0" applyNumberFormat="1" applyFont="1"/>
    <xf numFmtId="0" fontId="6" fillId="0" borderId="0" xfId="0" applyFont="1"/>
    <xf numFmtId="0" fontId="7" fillId="0" borderId="0" xfId="0" applyFont="1"/>
    <xf numFmtId="167" fontId="5" fillId="3" borderId="0" xfId="0" applyNumberFormat="1" applyFont="1" applyFill="1"/>
    <xf numFmtId="166" fontId="10" fillId="0" borderId="0" xfId="0" applyNumberFormat="1" applyFont="1"/>
    <xf numFmtId="0" fontId="10" fillId="4" borderId="0" xfId="0" applyFont="1" applyFill="1"/>
    <xf numFmtId="0" fontId="2" fillId="4" borderId="0" xfId="0" applyFont="1" applyFill="1"/>
    <xf numFmtId="0" fontId="6" fillId="4" borderId="0" xfId="0" applyFont="1" applyFill="1"/>
    <xf numFmtId="166" fontId="10" fillId="4" borderId="0" xfId="0" applyNumberFormat="1" applyFont="1" applyFill="1"/>
    <xf numFmtId="167" fontId="2" fillId="4" borderId="0" xfId="0" applyNumberFormat="1" applyFont="1" applyFill="1"/>
    <xf numFmtId="167" fontId="5" fillId="0" borderId="0" xfId="0" applyNumberFormat="1" applyFont="1"/>
    <xf numFmtId="0" fontId="8" fillId="4" borderId="0" xfId="0" applyFont="1" applyFill="1"/>
    <xf numFmtId="167" fontId="8" fillId="4" borderId="0" xfId="0" applyNumberFormat="1" applyFont="1" applyFill="1"/>
    <xf numFmtId="0" fontId="9" fillId="0" borderId="0" xfId="0" applyFont="1"/>
    <xf numFmtId="17" fontId="6" fillId="0" borderId="0" xfId="0" applyNumberFormat="1" applyFont="1"/>
    <xf numFmtId="167" fontId="9" fillId="0" borderId="0" xfId="0" applyNumberFormat="1" applyFont="1"/>
    <xf numFmtId="167" fontId="10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showGridLines="0" tabSelected="1" workbookViewId="0"/>
  </sheetViews>
  <sheetFormatPr defaultRowHeight="14.4" x14ac:dyDescent="0.3"/>
  <cols>
    <col min="1" max="1" width="120" customWidth="1"/>
  </cols>
  <sheetData>
    <row r="1" spans="1:1" ht="17.399999999999999" x14ac:dyDescent="0.3">
      <c r="A1" s="1" t="s">
        <v>0</v>
      </c>
    </row>
    <row r="2" spans="1:1" x14ac:dyDescent="0.3">
      <c r="A2" s="2"/>
    </row>
    <row r="3" spans="1:1" x14ac:dyDescent="0.3">
      <c r="A3" s="3" t="s">
        <v>1</v>
      </c>
    </row>
    <row r="4" spans="1:1" x14ac:dyDescent="0.3">
      <c r="A4" s="4" t="s">
        <v>2</v>
      </c>
    </row>
    <row r="5" spans="1:1" x14ac:dyDescent="0.3">
      <c r="A5" s="4" t="s">
        <v>3</v>
      </c>
    </row>
    <row r="6" spans="1:1" x14ac:dyDescent="0.3">
      <c r="A6" s="4" t="s">
        <v>4</v>
      </c>
    </row>
    <row r="7" spans="1:1" x14ac:dyDescent="0.3">
      <c r="A7" s="4" t="s">
        <v>5</v>
      </c>
    </row>
    <row r="8" spans="1:1" x14ac:dyDescent="0.3">
      <c r="A8" s="4" t="s">
        <v>6</v>
      </c>
    </row>
    <row r="9" spans="1:1" x14ac:dyDescent="0.3">
      <c r="A9" s="4" t="s">
        <v>7</v>
      </c>
    </row>
    <row r="10" spans="1:1" x14ac:dyDescent="0.3">
      <c r="A10" s="4"/>
    </row>
    <row r="11" spans="1:1" x14ac:dyDescent="0.3">
      <c r="A11" s="3" t="s">
        <v>8</v>
      </c>
    </row>
    <row r="12" spans="1:1" x14ac:dyDescent="0.3">
      <c r="A12" s="4" t="s">
        <v>9</v>
      </c>
    </row>
    <row r="13" spans="1:1" ht="26.4" x14ac:dyDescent="0.3">
      <c r="A13" s="4" t="s">
        <v>10</v>
      </c>
    </row>
    <row r="14" spans="1:1" x14ac:dyDescent="0.3">
      <c r="A14" s="4" t="s">
        <v>11</v>
      </c>
    </row>
    <row r="15" spans="1:1" ht="26.4" x14ac:dyDescent="0.3">
      <c r="A15" s="4" t="s">
        <v>12</v>
      </c>
    </row>
    <row r="16" spans="1:1" x14ac:dyDescent="0.3">
      <c r="A16" s="4"/>
    </row>
    <row r="17" spans="1:1" x14ac:dyDescent="0.3">
      <c r="A17" s="3" t="s">
        <v>13</v>
      </c>
    </row>
    <row r="18" spans="1:1" x14ac:dyDescent="0.3">
      <c r="A18" s="4" t="s">
        <v>14</v>
      </c>
    </row>
    <row r="19" spans="1:1" ht="26.4" x14ac:dyDescent="0.3">
      <c r="A19" s="4" t="s">
        <v>15</v>
      </c>
    </row>
    <row r="20" spans="1:1" x14ac:dyDescent="0.3">
      <c r="A20" s="4" t="s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showGridLines="0" workbookViewId="0"/>
  </sheetViews>
  <sheetFormatPr defaultRowHeight="14.4" x14ac:dyDescent="0.3"/>
  <cols>
    <col min="1" max="1" width="32" customWidth="1"/>
    <col min="2" max="2" width="16" customWidth="1"/>
    <col min="3" max="3" width="60" customWidth="1"/>
    <col min="4" max="4" width="3" customWidth="1"/>
    <col min="5" max="6" width="18" customWidth="1"/>
    <col min="7" max="7" width="22" customWidth="1"/>
  </cols>
  <sheetData>
    <row r="1" spans="1:7" ht="17.399999999999999" x14ac:dyDescent="0.3">
      <c r="A1" s="1" t="s">
        <v>17</v>
      </c>
      <c r="B1" s="2"/>
      <c r="C1" s="2"/>
      <c r="D1" s="2"/>
      <c r="E1" s="2"/>
      <c r="F1" s="2"/>
      <c r="G1" s="2"/>
    </row>
    <row r="2" spans="1:7" x14ac:dyDescent="0.3">
      <c r="A2" s="2"/>
      <c r="B2" s="2"/>
      <c r="C2" s="2"/>
      <c r="D2" s="2"/>
      <c r="E2" s="2"/>
      <c r="F2" s="2"/>
      <c r="G2" s="2"/>
    </row>
    <row r="3" spans="1:7" ht="30" customHeight="1" x14ac:dyDescent="0.3">
      <c r="A3" s="5" t="s">
        <v>18</v>
      </c>
      <c r="B3" s="5" t="s">
        <v>19</v>
      </c>
      <c r="C3" s="5" t="s">
        <v>20</v>
      </c>
      <c r="D3" s="2"/>
      <c r="E3" s="5" t="s">
        <v>21</v>
      </c>
      <c r="F3" s="5" t="s">
        <v>22</v>
      </c>
      <c r="G3" s="5" t="s">
        <v>23</v>
      </c>
    </row>
    <row r="4" spans="1:7" x14ac:dyDescent="0.3">
      <c r="A4" s="6" t="s">
        <v>24</v>
      </c>
      <c r="B4" s="7" t="s">
        <v>25</v>
      </c>
      <c r="C4" s="8" t="s">
        <v>26</v>
      </c>
      <c r="D4" s="2"/>
      <c r="E4" s="6" t="s">
        <v>25</v>
      </c>
      <c r="F4" s="9">
        <f>SUMIFS('Extras por estilo'!$D:$D,'Extras por estilo'!$A:$A,E4)+SUMIFS('Extras por estilo'!$D:$D,'Extras por estilo'!$A:$A,"Todos")</f>
        <v>84000</v>
      </c>
      <c r="G4" s="9">
        <f>($B$11+F4)*(1+$B$8)+Orçamento!$I$30</f>
        <v>300778.16000000003</v>
      </c>
    </row>
    <row r="5" spans="1:7" x14ac:dyDescent="0.3">
      <c r="A5" s="6" t="s">
        <v>27</v>
      </c>
      <c r="B5" s="10">
        <v>80</v>
      </c>
      <c r="C5" s="8" t="s">
        <v>28</v>
      </c>
      <c r="D5" s="2"/>
      <c r="E5" s="6" t="s">
        <v>29</v>
      </c>
      <c r="F5" s="9">
        <f>SUMIFS('Extras por estilo'!$D:$D,'Extras por estilo'!$A:$A,E5)+SUMIFS('Extras por estilo'!$D:$D,'Extras por estilo'!$A:$A,"Todos")</f>
        <v>87000</v>
      </c>
      <c r="G5" s="9">
        <f>($B$11+F5)*(1+$B$8)+Orçamento!$I$30</f>
        <v>304078.16000000003</v>
      </c>
    </row>
    <row r="6" spans="1:7" ht="22.8" x14ac:dyDescent="0.3">
      <c r="A6" s="6" t="s">
        <v>30</v>
      </c>
      <c r="B6" s="11">
        <v>1969.07</v>
      </c>
      <c r="C6" s="8" t="s">
        <v>31</v>
      </c>
      <c r="D6" s="2"/>
      <c r="E6" s="6" t="s">
        <v>32</v>
      </c>
      <c r="F6" s="9">
        <f>SUMIFS('Extras por estilo'!$D:$D,'Extras por estilo'!$A:$A,E6)+SUMIFS('Extras por estilo'!$D:$D,'Extras por estilo'!$A:$A,"Todos")</f>
        <v>27000</v>
      </c>
      <c r="G6" s="9">
        <f>($B$11+F6)*(1+$B$8)+Orçamento!$I$30</f>
        <v>238078.16000000003</v>
      </c>
    </row>
    <row r="7" spans="1:7" x14ac:dyDescent="0.3">
      <c r="A7" s="6" t="s">
        <v>33</v>
      </c>
      <c r="B7" s="12">
        <v>1</v>
      </c>
      <c r="C7" s="8" t="s">
        <v>34</v>
      </c>
      <c r="D7" s="2"/>
      <c r="E7" s="6" t="s">
        <v>35</v>
      </c>
      <c r="F7" s="9">
        <f>SUMIFS('Extras por estilo'!$D:$D,'Extras por estilo'!$A:$A,E7)+SUMIFS('Extras por estilo'!$D:$D,'Extras por estilo'!$A:$A,"Todos")</f>
        <v>15000</v>
      </c>
      <c r="G7" s="9">
        <f>($B$11+F7)*(1+$B$8)+Orçamento!$I$30</f>
        <v>224878.16000000003</v>
      </c>
    </row>
    <row r="8" spans="1:7" x14ac:dyDescent="0.3">
      <c r="A8" s="6" t="s">
        <v>36</v>
      </c>
      <c r="B8" s="13">
        <v>0.1</v>
      </c>
      <c r="C8" s="8" t="s">
        <v>37</v>
      </c>
      <c r="D8" s="2"/>
      <c r="E8" s="6" t="s">
        <v>38</v>
      </c>
      <c r="F8" s="9">
        <f>SUMIFS('Extras por estilo'!$D:$D,'Extras por estilo'!$A:$A,E8)+SUMIFS('Extras por estilo'!$D:$D,'Extras por estilo'!$A:$A,"Todos")</f>
        <v>2000</v>
      </c>
      <c r="G8" s="9">
        <f>($B$11+F8)*(1+$B$8)+Orçamento!$I$30</f>
        <v>210578.16000000003</v>
      </c>
    </row>
    <row r="9" spans="1:7" x14ac:dyDescent="0.3">
      <c r="A9" s="6" t="s">
        <v>39</v>
      </c>
      <c r="B9" s="13">
        <v>0.05</v>
      </c>
      <c r="C9" s="8" t="s">
        <v>40</v>
      </c>
      <c r="D9" s="2"/>
      <c r="E9" s="6" t="s">
        <v>41</v>
      </c>
      <c r="F9" s="9">
        <f>SUMIFS('Extras por estilo'!$D:$D,'Extras por estilo'!$A:$A,E9)+SUMIFS('Extras por estilo'!$D:$D,'Extras por estilo'!$A:$A,"Todos")</f>
        <v>12000</v>
      </c>
      <c r="G9" s="9">
        <f>($B$11+F9)*(1+$B$8)+Orçamento!$I$30</f>
        <v>221578.16000000003</v>
      </c>
    </row>
    <row r="10" spans="1:7" x14ac:dyDescent="0.3">
      <c r="A10" s="6" t="s">
        <v>42</v>
      </c>
      <c r="B10" s="14">
        <v>46539</v>
      </c>
      <c r="C10" s="8" t="s">
        <v>43</v>
      </c>
      <c r="D10" s="2"/>
      <c r="E10" s="6" t="s">
        <v>44</v>
      </c>
      <c r="F10" s="9">
        <f>SUMIFS('Extras por estilo'!$D:$D,'Extras por estilo'!$A:$A,E10)+SUMIFS('Extras por estilo'!$D:$D,'Extras por estilo'!$A:$A,"Todos")</f>
        <v>-10500</v>
      </c>
      <c r="G10" s="9">
        <f>($B$11+F10)*(1+$B$8)+Orçamento!$I$30</f>
        <v>196828.16000000003</v>
      </c>
    </row>
    <row r="11" spans="1:7" x14ac:dyDescent="0.3">
      <c r="A11" s="15" t="s">
        <v>45</v>
      </c>
      <c r="B11" s="16">
        <f>B5*B6*B7</f>
        <v>157525.6</v>
      </c>
      <c r="C11" s="17" t="s">
        <v>46</v>
      </c>
      <c r="D11" s="2"/>
      <c r="E11" s="6" t="s">
        <v>47</v>
      </c>
      <c r="F11" s="9">
        <f>SUMIFS('Extras por estilo'!$D:$D,'Extras por estilo'!$A:$A,E11)+SUMIFS('Extras por estilo'!$D:$D,'Extras por estilo'!$A:$A,"Todos")</f>
        <v>26000</v>
      </c>
      <c r="G11" s="9">
        <f>($B$11+F11)*(1+$B$8)+Orçamento!$I$30</f>
        <v>236978.16000000003</v>
      </c>
    </row>
    <row r="12" spans="1:7" x14ac:dyDescent="0.3">
      <c r="A12" s="2"/>
      <c r="B12" s="2"/>
      <c r="C12" s="2"/>
      <c r="D12" s="2"/>
      <c r="E12" s="2"/>
      <c r="F12" s="2"/>
      <c r="G12" s="2"/>
    </row>
    <row r="13" spans="1:7" x14ac:dyDescent="0.3">
      <c r="A13" s="2"/>
      <c r="B13" s="2"/>
      <c r="C13" s="2"/>
      <c r="D13" s="2"/>
      <c r="E13" s="17" t="s">
        <v>48</v>
      </c>
      <c r="F13" s="2"/>
      <c r="G13" s="2"/>
    </row>
  </sheetData>
  <dataValidations count="1">
    <dataValidation type="list" error="Escolha um dos 8 estilos da lista." prompt="Escolha o estilo" sqref="B4" xr:uid="{00000000-0002-0000-0100-000000000000}">
      <formula1>$E$4:$E$11</formula1>
    </dataValidation>
  </dataValidation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5" customWidth="1"/>
    <col min="2" max="2" width="30" customWidth="1"/>
    <col min="3" max="3" width="46" customWidth="1"/>
    <col min="4" max="4" width="12" customWidth="1"/>
    <col min="5" max="7" width="16" customWidth="1"/>
    <col min="8" max="8" width="18" customWidth="1"/>
    <col min="9" max="9" width="16" customWidth="1"/>
    <col min="10" max="10" width="10" customWidth="1"/>
  </cols>
  <sheetData>
    <row r="1" spans="1:10" ht="17.399999999999999" x14ac:dyDescent="0.3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15" t="s">
        <v>50</v>
      </c>
      <c r="B2" s="18" t="str">
        <f>Premissas!B4</f>
        <v>YATS</v>
      </c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30" customHeight="1" x14ac:dyDescent="0.3">
      <c r="A4" s="5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 t="s">
        <v>22</v>
      </c>
      <c r="G4" s="5" t="s">
        <v>56</v>
      </c>
      <c r="H4" s="5" t="s">
        <v>57</v>
      </c>
      <c r="I4" s="5" t="s">
        <v>58</v>
      </c>
      <c r="J4" s="5" t="s">
        <v>59</v>
      </c>
    </row>
    <row r="5" spans="1:10" x14ac:dyDescent="0.3">
      <c r="A5" s="6">
        <v>1</v>
      </c>
      <c r="B5" s="6" t="s">
        <v>60</v>
      </c>
      <c r="C5" s="8" t="s">
        <v>61</v>
      </c>
      <c r="D5" s="13">
        <v>0.02</v>
      </c>
      <c r="E5" s="9">
        <f>Premissas!$B$11*D5</f>
        <v>3150.5120000000002</v>
      </c>
      <c r="F5" s="9">
        <f>SUMIFS('Extras por estilo'!$D:$D,'Extras por estilo'!$A:$A,Premissas!$B$4,'Extras por estilo'!$C:$C,B5)+SUMIFS('Extras por estilo'!$D:$D,'Extras por estilo'!$A:$A,"Todos",'Extras por estilo'!$C:$C,B5)</f>
        <v>0</v>
      </c>
      <c r="G5" s="9">
        <f t="shared" ref="G5:G18" si="0">E5+F5</f>
        <v>3150.5120000000002</v>
      </c>
      <c r="H5" s="19"/>
      <c r="I5" s="9">
        <f t="shared" ref="I5:I18" si="1">IF(H5&gt;0,H5,G5)</f>
        <v>3150.5120000000002</v>
      </c>
      <c r="J5" s="20">
        <f t="shared" ref="J5:J18" si="2">IF($I$19=0,0,I5/$I$19)</f>
        <v>1.3044215602818088E-2</v>
      </c>
    </row>
    <row r="6" spans="1:10" ht="22.8" x14ac:dyDescent="0.3">
      <c r="A6" s="6">
        <v>2</v>
      </c>
      <c r="B6" s="6" t="s">
        <v>62</v>
      </c>
      <c r="C6" s="8" t="s">
        <v>63</v>
      </c>
      <c r="D6" s="13">
        <v>0.09</v>
      </c>
      <c r="E6" s="9">
        <f>Premissas!$B$11*D6</f>
        <v>14177.304</v>
      </c>
      <c r="F6" s="9">
        <f>SUMIFS('Extras por estilo'!$D:$D,'Extras por estilo'!$A:$A,Premissas!$B$4,'Extras por estilo'!$C:$C,B6)+SUMIFS('Extras por estilo'!$D:$D,'Extras por estilo'!$A:$A,"Todos",'Extras por estilo'!$C:$C,B6)</f>
        <v>0</v>
      </c>
      <c r="G6" s="9">
        <f t="shared" si="0"/>
        <v>14177.304</v>
      </c>
      <c r="H6" s="19"/>
      <c r="I6" s="9">
        <f t="shared" si="1"/>
        <v>14177.304</v>
      </c>
      <c r="J6" s="20">
        <f t="shared" si="2"/>
        <v>5.8698970212681396E-2</v>
      </c>
    </row>
    <row r="7" spans="1:10" x14ac:dyDescent="0.3">
      <c r="A7" s="6">
        <v>3</v>
      </c>
      <c r="B7" s="6" t="s">
        <v>64</v>
      </c>
      <c r="C7" s="8" t="s">
        <v>65</v>
      </c>
      <c r="D7" s="13">
        <v>0.13</v>
      </c>
      <c r="E7" s="9">
        <f>Premissas!$B$11*D7</f>
        <v>20478.328000000001</v>
      </c>
      <c r="F7" s="9">
        <f>SUMIFS('Extras por estilo'!$D:$D,'Extras por estilo'!$A:$A,Premissas!$B$4,'Extras por estilo'!$C:$C,B7)+SUMIFS('Extras por estilo'!$D:$D,'Extras por estilo'!$A:$A,"Todos",'Extras por estilo'!$C:$C,B7)</f>
        <v>0</v>
      </c>
      <c r="G7" s="9">
        <f t="shared" si="0"/>
        <v>20478.328000000001</v>
      </c>
      <c r="H7" s="19"/>
      <c r="I7" s="9">
        <f t="shared" si="1"/>
        <v>20478.328000000001</v>
      </c>
      <c r="J7" s="20">
        <f t="shared" si="2"/>
        <v>8.4787401418317573E-2</v>
      </c>
    </row>
    <row r="8" spans="1:10" x14ac:dyDescent="0.3">
      <c r="A8" s="6">
        <v>4</v>
      </c>
      <c r="B8" s="6" t="s">
        <v>66</v>
      </c>
      <c r="C8" s="8" t="s">
        <v>67</v>
      </c>
      <c r="D8" s="13">
        <v>0.09</v>
      </c>
      <c r="E8" s="9">
        <f>Premissas!$B$11*D8</f>
        <v>14177.304</v>
      </c>
      <c r="F8" s="9">
        <f>SUMIFS('Extras por estilo'!$D:$D,'Extras por estilo'!$A:$A,Premissas!$B$4,'Extras por estilo'!$C:$C,B8)+SUMIFS('Extras por estilo'!$D:$D,'Extras por estilo'!$A:$A,"Todos",'Extras por estilo'!$C:$C,B8)</f>
        <v>0</v>
      </c>
      <c r="G8" s="9">
        <f t="shared" si="0"/>
        <v>14177.304</v>
      </c>
      <c r="H8" s="19"/>
      <c r="I8" s="9">
        <f t="shared" si="1"/>
        <v>14177.304</v>
      </c>
      <c r="J8" s="20">
        <f t="shared" si="2"/>
        <v>5.8698970212681396E-2</v>
      </c>
    </row>
    <row r="9" spans="1:10" ht="22.8" x14ac:dyDescent="0.3">
      <c r="A9" s="6">
        <v>5</v>
      </c>
      <c r="B9" s="6" t="s">
        <v>68</v>
      </c>
      <c r="C9" s="8" t="s">
        <v>69</v>
      </c>
      <c r="D9" s="13">
        <v>0.08</v>
      </c>
      <c r="E9" s="9">
        <f>Premissas!$B$11*D9</f>
        <v>12602.048000000001</v>
      </c>
      <c r="F9" s="9">
        <f>SUMIFS('Extras por estilo'!$D:$D,'Extras por estilo'!$A:$A,Premissas!$B$4,'Extras por estilo'!$C:$C,B9)+SUMIFS('Extras por estilo'!$D:$D,'Extras por estilo'!$A:$A,"Todos",'Extras por estilo'!$C:$C,B9)</f>
        <v>2500</v>
      </c>
      <c r="G9" s="9">
        <f t="shared" si="0"/>
        <v>15102.048000000001</v>
      </c>
      <c r="H9" s="19"/>
      <c r="I9" s="9">
        <f t="shared" si="1"/>
        <v>15102.048000000001</v>
      </c>
      <c r="J9" s="20">
        <f t="shared" si="2"/>
        <v>6.2527732049935919E-2</v>
      </c>
    </row>
    <row r="10" spans="1:10" x14ac:dyDescent="0.3">
      <c r="A10" s="6">
        <v>6</v>
      </c>
      <c r="B10" s="6" t="s">
        <v>70</v>
      </c>
      <c r="C10" s="8" t="s">
        <v>71</v>
      </c>
      <c r="D10" s="13">
        <v>0.08</v>
      </c>
      <c r="E10" s="9">
        <f>Premissas!$B$11*D10</f>
        <v>12602.048000000001</v>
      </c>
      <c r="F10" s="9">
        <f>SUMIFS('Extras por estilo'!$D:$D,'Extras por estilo'!$A:$A,Premissas!$B$4,'Extras por estilo'!$C:$C,B10)+SUMIFS('Extras por estilo'!$D:$D,'Extras por estilo'!$A:$A,"Todos",'Extras por estilo'!$C:$C,B10)</f>
        <v>600</v>
      </c>
      <c r="G10" s="9">
        <f t="shared" si="0"/>
        <v>13202.048000000001</v>
      </c>
      <c r="H10" s="19"/>
      <c r="I10" s="9">
        <f t="shared" si="1"/>
        <v>13202.048000000001</v>
      </c>
      <c r="J10" s="20">
        <f t="shared" si="2"/>
        <v>5.4661071124551611E-2</v>
      </c>
    </row>
    <row r="11" spans="1:10" x14ac:dyDescent="0.3">
      <c r="A11" s="6">
        <v>7</v>
      </c>
      <c r="B11" s="6" t="s">
        <v>72</v>
      </c>
      <c r="C11" s="8" t="s">
        <v>73</v>
      </c>
      <c r="D11" s="13">
        <v>7.0000000000000007E-2</v>
      </c>
      <c r="E11" s="9">
        <f>Premissas!$B$11*D11</f>
        <v>11026.792000000001</v>
      </c>
      <c r="F11" s="9">
        <f>SUMIFS('Extras por estilo'!$D:$D,'Extras por estilo'!$A:$A,Premissas!$B$4,'Extras por estilo'!$C:$C,B11)+SUMIFS('Extras por estilo'!$D:$D,'Extras por estilo'!$A:$A,"Todos",'Extras por estilo'!$C:$C,B11)</f>
        <v>0</v>
      </c>
      <c r="G11" s="9">
        <f t="shared" si="0"/>
        <v>11026.792000000001</v>
      </c>
      <c r="H11" s="19"/>
      <c r="I11" s="9">
        <f t="shared" si="1"/>
        <v>11026.792000000001</v>
      </c>
      <c r="J11" s="20">
        <f t="shared" si="2"/>
        <v>4.5654754609863311E-2</v>
      </c>
    </row>
    <row r="12" spans="1:10" x14ac:dyDescent="0.3">
      <c r="A12" s="6">
        <v>8</v>
      </c>
      <c r="B12" s="6" t="s">
        <v>74</v>
      </c>
      <c r="C12" s="8" t="s">
        <v>75</v>
      </c>
      <c r="D12" s="13">
        <v>0.08</v>
      </c>
      <c r="E12" s="9">
        <f>Premissas!$B$11*D12</f>
        <v>12602.048000000001</v>
      </c>
      <c r="F12" s="9">
        <f>SUMIFS('Extras por estilo'!$D:$D,'Extras por estilo'!$A:$A,Premissas!$B$4,'Extras por estilo'!$C:$C,B12)+SUMIFS('Extras por estilo'!$D:$D,'Extras por estilo'!$A:$A,"Todos",'Extras por estilo'!$C:$C,B12)</f>
        <v>32900</v>
      </c>
      <c r="G12" s="9">
        <f t="shared" si="0"/>
        <v>45502.048000000003</v>
      </c>
      <c r="H12" s="19"/>
      <c r="I12" s="9">
        <f t="shared" si="1"/>
        <v>45502.048000000003</v>
      </c>
      <c r="J12" s="20">
        <f t="shared" si="2"/>
        <v>0.18839430685608485</v>
      </c>
    </row>
    <row r="13" spans="1:10" x14ac:dyDescent="0.3">
      <c r="A13" s="6">
        <v>9</v>
      </c>
      <c r="B13" s="6" t="s">
        <v>76</v>
      </c>
      <c r="C13" s="8" t="s">
        <v>77</v>
      </c>
      <c r="D13" s="13">
        <v>0.11</v>
      </c>
      <c r="E13" s="9">
        <f>Premissas!$B$11*D13</f>
        <v>17327.816000000003</v>
      </c>
      <c r="F13" s="9">
        <f>SUMIFS('Extras por estilo'!$D:$D,'Extras por estilo'!$A:$A,Premissas!$B$4,'Extras por estilo'!$C:$C,B13)+SUMIFS('Extras por estilo'!$D:$D,'Extras por estilo'!$A:$A,"Todos",'Extras por estilo'!$C:$C,B13)</f>
        <v>-2000</v>
      </c>
      <c r="G13" s="9">
        <f t="shared" si="0"/>
        <v>15327.816000000003</v>
      </c>
      <c r="H13" s="19"/>
      <c r="I13" s="9">
        <f t="shared" si="1"/>
        <v>15327.816000000003</v>
      </c>
      <c r="J13" s="20">
        <f t="shared" si="2"/>
        <v>6.3462490104568642E-2</v>
      </c>
    </row>
    <row r="14" spans="1:10" x14ac:dyDescent="0.3">
      <c r="A14" s="6">
        <v>10</v>
      </c>
      <c r="B14" s="6" t="s">
        <v>78</v>
      </c>
      <c r="C14" s="8" t="s">
        <v>79</v>
      </c>
      <c r="D14" s="13">
        <v>0.09</v>
      </c>
      <c r="E14" s="9">
        <f>Premissas!$B$11*D14</f>
        <v>14177.304</v>
      </c>
      <c r="F14" s="9">
        <f>SUMIFS('Extras por estilo'!$D:$D,'Extras por estilo'!$A:$A,Premissas!$B$4,'Extras por estilo'!$C:$C,B14)+SUMIFS('Extras por estilo'!$D:$D,'Extras por estilo'!$A:$A,"Todos",'Extras por estilo'!$C:$C,B14)</f>
        <v>5000</v>
      </c>
      <c r="G14" s="9">
        <f t="shared" si="0"/>
        <v>19177.304</v>
      </c>
      <c r="H14" s="19"/>
      <c r="I14" s="9">
        <f t="shared" si="1"/>
        <v>19177.304</v>
      </c>
      <c r="J14" s="20">
        <f t="shared" si="2"/>
        <v>7.940070949000852E-2</v>
      </c>
    </row>
    <row r="15" spans="1:10" x14ac:dyDescent="0.3">
      <c r="A15" s="6">
        <v>11</v>
      </c>
      <c r="B15" s="6" t="s">
        <v>80</v>
      </c>
      <c r="C15" s="8" t="s">
        <v>81</v>
      </c>
      <c r="D15" s="13">
        <v>7.0000000000000007E-2</v>
      </c>
      <c r="E15" s="9">
        <f>Premissas!$B$11*D15</f>
        <v>11026.792000000001</v>
      </c>
      <c r="F15" s="9">
        <f>SUMIFS('Extras por estilo'!$D:$D,'Extras por estilo'!$A:$A,Premissas!$B$4,'Extras por estilo'!$C:$C,B15)+SUMIFS('Extras por estilo'!$D:$D,'Extras por estilo'!$A:$A,"Todos",'Extras por estilo'!$C:$C,B15)</f>
        <v>0</v>
      </c>
      <c r="G15" s="9">
        <f t="shared" si="0"/>
        <v>11026.792000000001</v>
      </c>
      <c r="H15" s="19"/>
      <c r="I15" s="9">
        <f t="shared" si="1"/>
        <v>11026.792000000001</v>
      </c>
      <c r="J15" s="20">
        <f t="shared" si="2"/>
        <v>4.5654754609863311E-2</v>
      </c>
    </row>
    <row r="16" spans="1:10" x14ac:dyDescent="0.3">
      <c r="A16" s="6">
        <v>12</v>
      </c>
      <c r="B16" s="6" t="s">
        <v>82</v>
      </c>
      <c r="C16" s="8" t="s">
        <v>83</v>
      </c>
      <c r="D16" s="13">
        <v>0.05</v>
      </c>
      <c r="E16" s="9">
        <f>Premissas!$B$11*D16</f>
        <v>7876.2800000000007</v>
      </c>
      <c r="F16" s="9">
        <f>SUMIFS('Extras por estilo'!$D:$D,'Extras por estilo'!$A:$A,Premissas!$B$4,'Extras por estilo'!$C:$C,B16)+SUMIFS('Extras por estilo'!$D:$D,'Extras por estilo'!$A:$A,"Todos",'Extras por estilo'!$C:$C,B16)</f>
        <v>0</v>
      </c>
      <c r="G16" s="9">
        <f t="shared" si="0"/>
        <v>7876.2800000000007</v>
      </c>
      <c r="H16" s="19"/>
      <c r="I16" s="9">
        <f t="shared" si="1"/>
        <v>7876.2800000000007</v>
      </c>
      <c r="J16" s="20">
        <f t="shared" si="2"/>
        <v>3.2610539007045219E-2</v>
      </c>
    </row>
    <row r="17" spans="1:10" x14ac:dyDescent="0.3">
      <c r="A17" s="6">
        <v>13</v>
      </c>
      <c r="B17" s="6" t="s">
        <v>84</v>
      </c>
      <c r="C17" s="8" t="s">
        <v>85</v>
      </c>
      <c r="D17" s="13">
        <v>0.02</v>
      </c>
      <c r="E17" s="9">
        <f>Premissas!$B$11*D17</f>
        <v>3150.5120000000002</v>
      </c>
      <c r="F17" s="9">
        <f>SUMIFS('Extras por estilo'!$D:$D,'Extras por estilo'!$A:$A,Premissas!$B$4,'Extras por estilo'!$C:$C,B17)+SUMIFS('Extras por estilo'!$D:$D,'Extras por estilo'!$A:$A,"Todos",'Extras por estilo'!$C:$C,B17)</f>
        <v>45000</v>
      </c>
      <c r="G17" s="9">
        <f t="shared" si="0"/>
        <v>48150.512000000002</v>
      </c>
      <c r="H17" s="19"/>
      <c r="I17" s="9">
        <f t="shared" si="1"/>
        <v>48150.512000000002</v>
      </c>
      <c r="J17" s="20">
        <f t="shared" si="2"/>
        <v>0.19935986909876224</v>
      </c>
    </row>
    <row r="18" spans="1:10" x14ac:dyDescent="0.3">
      <c r="A18" s="6">
        <v>14</v>
      </c>
      <c r="B18" s="6" t="s">
        <v>86</v>
      </c>
      <c r="C18" s="8" t="s">
        <v>87</v>
      </c>
      <c r="D18" s="13">
        <v>0.02</v>
      </c>
      <c r="E18" s="9">
        <f>Premissas!$B$11*D18</f>
        <v>3150.5120000000002</v>
      </c>
      <c r="F18" s="9">
        <f>SUMIFS('Extras por estilo'!$D:$D,'Extras por estilo'!$A:$A,Premissas!$B$4,'Extras por estilo'!$C:$C,B18)+SUMIFS('Extras por estilo'!$D:$D,'Extras por estilo'!$A:$A,"Todos",'Extras por estilo'!$C:$C,B18)</f>
        <v>0</v>
      </c>
      <c r="G18" s="9">
        <f t="shared" si="0"/>
        <v>3150.5120000000002</v>
      </c>
      <c r="H18" s="19"/>
      <c r="I18" s="9">
        <f t="shared" si="1"/>
        <v>3150.5120000000002</v>
      </c>
      <c r="J18" s="20">
        <f t="shared" si="2"/>
        <v>1.3044215602818088E-2</v>
      </c>
    </row>
    <row r="19" spans="1:10" x14ac:dyDescent="0.3">
      <c r="A19" s="21"/>
      <c r="B19" s="22" t="s">
        <v>88</v>
      </c>
      <c r="C19" s="23" t="s">
        <v>89</v>
      </c>
      <c r="D19" s="24">
        <f>SUM(D5:D18)</f>
        <v>1</v>
      </c>
      <c r="E19" s="25">
        <f>SUM(E5:E18)</f>
        <v>157525.6</v>
      </c>
      <c r="F19" s="25">
        <f>SUM(F5:F18)</f>
        <v>84000</v>
      </c>
      <c r="G19" s="25">
        <f>SUM(G5:G18)</f>
        <v>241525.59999999998</v>
      </c>
      <c r="H19" s="21"/>
      <c r="I19" s="25">
        <f>SUM(I5:I18)</f>
        <v>241525.59999999998</v>
      </c>
      <c r="J19" s="21"/>
    </row>
    <row r="20" spans="1:10" x14ac:dyDescent="0.3">
      <c r="A20" s="2"/>
      <c r="B20" s="2" t="s">
        <v>90</v>
      </c>
      <c r="C20" s="17" t="s">
        <v>91</v>
      </c>
      <c r="D20" s="2"/>
      <c r="E20" s="2"/>
      <c r="F20" s="2"/>
      <c r="G20" s="2"/>
      <c r="H20" s="2"/>
      <c r="I20" s="9">
        <f>I19*Premissas!B8</f>
        <v>24152.559999999998</v>
      </c>
      <c r="J20" s="2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30" customHeight="1" x14ac:dyDescent="0.3">
      <c r="A22" s="5"/>
      <c r="B22" s="5" t="s">
        <v>92</v>
      </c>
      <c r="C22" s="5" t="s">
        <v>93</v>
      </c>
      <c r="D22" s="5" t="s">
        <v>94</v>
      </c>
      <c r="E22" s="5"/>
      <c r="F22" s="5"/>
      <c r="G22" s="5"/>
      <c r="H22" s="5"/>
      <c r="I22" s="5" t="s">
        <v>95</v>
      </c>
      <c r="J22" s="5"/>
    </row>
    <row r="23" spans="1:10" x14ac:dyDescent="0.3">
      <c r="A23" s="2"/>
      <c r="B23" s="6" t="s">
        <v>96</v>
      </c>
      <c r="C23" s="8" t="s">
        <v>97</v>
      </c>
      <c r="D23" s="6" t="s">
        <v>98</v>
      </c>
      <c r="E23" s="2"/>
      <c r="F23" s="2"/>
      <c r="G23" s="2"/>
      <c r="H23" s="2"/>
      <c r="I23" s="26">
        <v>8000</v>
      </c>
      <c r="J23" s="2"/>
    </row>
    <row r="24" spans="1:10" x14ac:dyDescent="0.3">
      <c r="A24" s="2"/>
      <c r="B24" s="6" t="s">
        <v>99</v>
      </c>
      <c r="C24" s="8" t="s">
        <v>100</v>
      </c>
      <c r="D24" s="6" t="s">
        <v>98</v>
      </c>
      <c r="E24" s="2"/>
      <c r="F24" s="2"/>
      <c r="G24" s="2"/>
      <c r="H24" s="2"/>
      <c r="I24" s="26">
        <v>600</v>
      </c>
      <c r="J24" s="2"/>
    </row>
    <row r="25" spans="1:10" x14ac:dyDescent="0.3">
      <c r="A25" s="2"/>
      <c r="B25" s="6" t="s">
        <v>101</v>
      </c>
      <c r="C25" s="8" t="s">
        <v>102</v>
      </c>
      <c r="D25" s="6" t="s">
        <v>98</v>
      </c>
      <c r="E25" s="2"/>
      <c r="F25" s="2"/>
      <c r="G25" s="2"/>
      <c r="H25" s="2"/>
      <c r="I25" s="26">
        <v>1500</v>
      </c>
      <c r="J25" s="2"/>
    </row>
    <row r="26" spans="1:10" x14ac:dyDescent="0.3">
      <c r="A26" s="2"/>
      <c r="B26" s="6" t="s">
        <v>103</v>
      </c>
      <c r="C26" s="8" t="s">
        <v>104</v>
      </c>
      <c r="D26" s="6" t="s">
        <v>105</v>
      </c>
      <c r="E26" s="2"/>
      <c r="F26" s="2"/>
      <c r="G26" s="2"/>
      <c r="H26" s="2"/>
      <c r="I26" s="26">
        <v>2500</v>
      </c>
      <c r="J26" s="2"/>
    </row>
    <row r="27" spans="1:10" ht="22.8" x14ac:dyDescent="0.3">
      <c r="A27" s="2"/>
      <c r="B27" s="6" t="s">
        <v>106</v>
      </c>
      <c r="C27" s="8" t="s">
        <v>107</v>
      </c>
      <c r="D27" s="6" t="s">
        <v>108</v>
      </c>
      <c r="E27" s="2"/>
      <c r="F27" s="2"/>
      <c r="G27" s="2"/>
      <c r="H27" s="2"/>
      <c r="I27" s="26">
        <v>15000</v>
      </c>
      <c r="J27" s="2"/>
    </row>
    <row r="28" spans="1:10" x14ac:dyDescent="0.3">
      <c r="A28" s="2"/>
      <c r="B28" s="6" t="s">
        <v>109</v>
      </c>
      <c r="C28" s="8" t="s">
        <v>110</v>
      </c>
      <c r="D28" s="6" t="s">
        <v>111</v>
      </c>
      <c r="E28" s="2"/>
      <c r="F28" s="2"/>
      <c r="G28" s="2"/>
      <c r="H28" s="2"/>
      <c r="I28" s="26">
        <v>6000</v>
      </c>
      <c r="J28" s="2"/>
    </row>
    <row r="29" spans="1:10" x14ac:dyDescent="0.3">
      <c r="A29" s="2"/>
      <c r="B29" s="6" t="s">
        <v>112</v>
      </c>
      <c r="C29" s="8" t="s">
        <v>113</v>
      </c>
      <c r="D29" s="6" t="s">
        <v>111</v>
      </c>
      <c r="E29" s="2"/>
      <c r="F29" s="2"/>
      <c r="G29" s="2"/>
      <c r="H29" s="2"/>
      <c r="I29" s="26">
        <v>1500</v>
      </c>
      <c r="J29" s="2"/>
    </row>
    <row r="30" spans="1:10" x14ac:dyDescent="0.3">
      <c r="A30" s="2"/>
      <c r="B30" s="15" t="s">
        <v>114</v>
      </c>
      <c r="C30" s="2"/>
      <c r="D30" s="2"/>
      <c r="E30" s="2"/>
      <c r="F30" s="2"/>
      <c r="G30" s="2"/>
      <c r="H30" s="2"/>
      <c r="I30" s="16">
        <f>SUM(I23:I29)</f>
        <v>35100</v>
      </c>
      <c r="J30" s="2"/>
    </row>
    <row r="31" spans="1:10" x14ac:dyDescent="0.3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3">
      <c r="A32" s="21"/>
      <c r="B32" s="27" t="s">
        <v>115</v>
      </c>
      <c r="C32" s="21"/>
      <c r="D32" s="21"/>
      <c r="E32" s="21"/>
      <c r="F32" s="21"/>
      <c r="G32" s="21"/>
      <c r="H32" s="21"/>
      <c r="I32" s="28">
        <f>I19+I20+I30</f>
        <v>300778.15999999997</v>
      </c>
      <c r="J32" s="21"/>
    </row>
    <row r="33" spans="1:10" x14ac:dyDescent="0.3">
      <c r="A33" s="2"/>
      <c r="B33" s="2" t="s">
        <v>116</v>
      </c>
      <c r="C33" s="2"/>
      <c r="D33" s="2"/>
      <c r="E33" s="2"/>
      <c r="F33" s="2"/>
      <c r="G33" s="2"/>
      <c r="H33" s="2"/>
      <c r="I33" s="9">
        <f>IF(Premissas!B5=0,0,I32/Premissas!B5)</f>
        <v>3759.7269999999999</v>
      </c>
      <c r="J33" s="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4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42" customWidth="1"/>
    <col min="2" max="2" width="14" customWidth="1"/>
    <col min="3" max="12" width="12" customWidth="1"/>
  </cols>
  <sheetData>
    <row r="1" spans="1:12" ht="17.399999999999999" x14ac:dyDescent="0.3">
      <c r="A1" s="1" t="s">
        <v>117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5" t="s">
        <v>50</v>
      </c>
      <c r="B2" s="29" t="str">
        <f>Premissas!B4</f>
        <v>YATS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0" customHeight="1" x14ac:dyDescent="0.3">
      <c r="A4" s="5" t="s">
        <v>52</v>
      </c>
      <c r="B4" s="5" t="s">
        <v>95</v>
      </c>
      <c r="C4" s="5" t="s">
        <v>118</v>
      </c>
      <c r="D4" s="5" t="s">
        <v>105</v>
      </c>
      <c r="E4" s="5" t="s">
        <v>119</v>
      </c>
      <c r="F4" s="5" t="s">
        <v>120</v>
      </c>
      <c r="G4" s="5" t="s">
        <v>121</v>
      </c>
      <c r="H4" s="5" t="s">
        <v>122</v>
      </c>
      <c r="I4" s="5" t="s">
        <v>123</v>
      </c>
      <c r="J4" s="5" t="s">
        <v>124</v>
      </c>
      <c r="K4" s="5" t="s">
        <v>125</v>
      </c>
      <c r="L4" s="5" t="s">
        <v>126</v>
      </c>
    </row>
    <row r="5" spans="1:12" x14ac:dyDescent="0.3">
      <c r="A5" s="17" t="s">
        <v>127</v>
      </c>
      <c r="B5" s="2"/>
      <c r="C5" s="2"/>
      <c r="D5" s="30">
        <f>EDATE(Premissas!$B$10,0)</f>
        <v>46539</v>
      </c>
      <c r="E5" s="30">
        <f>EDATE(Premissas!$B$10,1)</f>
        <v>46569</v>
      </c>
      <c r="F5" s="30">
        <f>EDATE(Premissas!$B$10,2)</f>
        <v>46600</v>
      </c>
      <c r="G5" s="30">
        <f>EDATE(Premissas!$B$10,3)</f>
        <v>46631</v>
      </c>
      <c r="H5" s="30">
        <f>EDATE(Premissas!$B$10,4)</f>
        <v>46661</v>
      </c>
      <c r="I5" s="30">
        <f>EDATE(Premissas!$B$10,5)</f>
        <v>46692</v>
      </c>
      <c r="J5" s="30">
        <f>EDATE(Premissas!$B$10,6)</f>
        <v>46722</v>
      </c>
      <c r="K5" s="2"/>
      <c r="L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15" t="s">
        <v>128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6" t="s">
        <v>60</v>
      </c>
      <c r="B8" s="2"/>
      <c r="C8" s="20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20">
        <v>0</v>
      </c>
      <c r="L8" s="20">
        <f t="shared" ref="L8:L21" si="0">SUM(C8:K8)</f>
        <v>1</v>
      </c>
    </row>
    <row r="9" spans="1:12" x14ac:dyDescent="0.3">
      <c r="A9" s="6" t="s">
        <v>62</v>
      </c>
      <c r="B9" s="2"/>
      <c r="C9" s="20">
        <v>0</v>
      </c>
      <c r="D9" s="13">
        <v>0.6</v>
      </c>
      <c r="E9" s="13">
        <v>0.4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20">
        <v>0</v>
      </c>
      <c r="L9" s="20">
        <f t="shared" si="0"/>
        <v>1</v>
      </c>
    </row>
    <row r="10" spans="1:12" x14ac:dyDescent="0.3">
      <c r="A10" s="6" t="s">
        <v>64</v>
      </c>
      <c r="B10" s="2"/>
      <c r="C10" s="20">
        <v>0</v>
      </c>
      <c r="D10" s="13">
        <v>0</v>
      </c>
      <c r="E10" s="13">
        <v>0.5</v>
      </c>
      <c r="F10" s="13">
        <v>0.5</v>
      </c>
      <c r="G10" s="13">
        <v>0</v>
      </c>
      <c r="H10" s="13">
        <v>0</v>
      </c>
      <c r="I10" s="13">
        <v>0</v>
      </c>
      <c r="J10" s="13">
        <v>0</v>
      </c>
      <c r="K10" s="20">
        <v>0</v>
      </c>
      <c r="L10" s="20">
        <f t="shared" si="0"/>
        <v>1</v>
      </c>
    </row>
    <row r="11" spans="1:12" x14ac:dyDescent="0.3">
      <c r="A11" s="6" t="s">
        <v>66</v>
      </c>
      <c r="B11" s="2"/>
      <c r="C11" s="20">
        <v>0</v>
      </c>
      <c r="D11" s="13">
        <v>0</v>
      </c>
      <c r="E11" s="13">
        <v>0.2</v>
      </c>
      <c r="F11" s="13">
        <v>0.6</v>
      </c>
      <c r="G11" s="13">
        <v>0.2</v>
      </c>
      <c r="H11" s="13">
        <v>0</v>
      </c>
      <c r="I11" s="13">
        <v>0</v>
      </c>
      <c r="J11" s="13">
        <v>0</v>
      </c>
      <c r="K11" s="20">
        <v>0</v>
      </c>
      <c r="L11" s="20">
        <f t="shared" si="0"/>
        <v>1</v>
      </c>
    </row>
    <row r="12" spans="1:12" x14ac:dyDescent="0.3">
      <c r="A12" s="6" t="s">
        <v>68</v>
      </c>
      <c r="B12" s="2"/>
      <c r="C12" s="20">
        <v>0</v>
      </c>
      <c r="D12" s="13">
        <v>0</v>
      </c>
      <c r="E12" s="13">
        <v>0</v>
      </c>
      <c r="F12" s="13">
        <v>0.3</v>
      </c>
      <c r="G12" s="13">
        <v>0.7</v>
      </c>
      <c r="H12" s="13">
        <v>0</v>
      </c>
      <c r="I12" s="13">
        <v>0</v>
      </c>
      <c r="J12" s="13">
        <v>0</v>
      </c>
      <c r="K12" s="20">
        <v>0</v>
      </c>
      <c r="L12" s="20">
        <f t="shared" si="0"/>
        <v>1</v>
      </c>
    </row>
    <row r="13" spans="1:12" x14ac:dyDescent="0.3">
      <c r="A13" s="6" t="s">
        <v>70</v>
      </c>
      <c r="B13" s="2"/>
      <c r="C13" s="20">
        <v>0</v>
      </c>
      <c r="D13" s="13">
        <v>0</v>
      </c>
      <c r="E13" s="13">
        <v>0</v>
      </c>
      <c r="F13" s="13">
        <v>0.2</v>
      </c>
      <c r="G13" s="13">
        <v>0.3</v>
      </c>
      <c r="H13" s="13">
        <v>0.3</v>
      </c>
      <c r="I13" s="13">
        <v>0.2</v>
      </c>
      <c r="J13" s="13">
        <v>0</v>
      </c>
      <c r="K13" s="20">
        <v>0</v>
      </c>
      <c r="L13" s="20">
        <f t="shared" si="0"/>
        <v>1</v>
      </c>
    </row>
    <row r="14" spans="1:12" x14ac:dyDescent="0.3">
      <c r="A14" s="6" t="s">
        <v>72</v>
      </c>
      <c r="B14" s="2"/>
      <c r="C14" s="20">
        <v>0</v>
      </c>
      <c r="D14" s="13">
        <v>0</v>
      </c>
      <c r="E14" s="13">
        <v>0</v>
      </c>
      <c r="F14" s="13">
        <v>0</v>
      </c>
      <c r="G14" s="13">
        <v>0.3</v>
      </c>
      <c r="H14" s="13">
        <v>0.4</v>
      </c>
      <c r="I14" s="13">
        <v>0.3</v>
      </c>
      <c r="J14" s="13">
        <v>0</v>
      </c>
      <c r="K14" s="20">
        <v>0</v>
      </c>
      <c r="L14" s="20">
        <f t="shared" si="0"/>
        <v>1</v>
      </c>
    </row>
    <row r="15" spans="1:12" x14ac:dyDescent="0.3">
      <c r="A15" s="6" t="s">
        <v>74</v>
      </c>
      <c r="B15" s="2"/>
      <c r="C15" s="20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0.4</v>
      </c>
      <c r="I15" s="13">
        <v>0.4</v>
      </c>
      <c r="J15" s="13">
        <v>0.2</v>
      </c>
      <c r="K15" s="20">
        <v>0</v>
      </c>
      <c r="L15" s="20">
        <f t="shared" si="0"/>
        <v>1</v>
      </c>
    </row>
    <row r="16" spans="1:12" x14ac:dyDescent="0.3">
      <c r="A16" s="6" t="s">
        <v>76</v>
      </c>
      <c r="B16" s="2"/>
      <c r="C16" s="20">
        <v>0</v>
      </c>
      <c r="D16" s="13">
        <v>0</v>
      </c>
      <c r="E16" s="13">
        <v>0</v>
      </c>
      <c r="F16" s="13">
        <v>0</v>
      </c>
      <c r="G16" s="13">
        <v>0.2</v>
      </c>
      <c r="H16" s="13">
        <v>0.5</v>
      </c>
      <c r="I16" s="13">
        <v>0.3</v>
      </c>
      <c r="J16" s="13">
        <v>0</v>
      </c>
      <c r="K16" s="20">
        <v>0</v>
      </c>
      <c r="L16" s="20">
        <f t="shared" si="0"/>
        <v>1</v>
      </c>
    </row>
    <row r="17" spans="1:12" x14ac:dyDescent="0.3">
      <c r="A17" s="6" t="s">
        <v>78</v>
      </c>
      <c r="B17" s="2"/>
      <c r="C17" s="20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0.3</v>
      </c>
      <c r="I17" s="13">
        <v>0.5</v>
      </c>
      <c r="J17" s="13">
        <v>0.2</v>
      </c>
      <c r="K17" s="20">
        <v>0</v>
      </c>
      <c r="L17" s="20">
        <f t="shared" si="0"/>
        <v>1</v>
      </c>
    </row>
    <row r="18" spans="1:12" x14ac:dyDescent="0.3">
      <c r="A18" s="6" t="s">
        <v>80</v>
      </c>
      <c r="B18" s="2"/>
      <c r="C18" s="20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0.4</v>
      </c>
      <c r="J18" s="13">
        <v>0.6</v>
      </c>
      <c r="K18" s="20">
        <v>0</v>
      </c>
      <c r="L18" s="20">
        <f t="shared" si="0"/>
        <v>1</v>
      </c>
    </row>
    <row r="19" spans="1:12" x14ac:dyDescent="0.3">
      <c r="A19" s="6" t="s">
        <v>82</v>
      </c>
      <c r="B19" s="2"/>
      <c r="C19" s="20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0.3</v>
      </c>
      <c r="J19" s="13">
        <v>0.7</v>
      </c>
      <c r="K19" s="20">
        <v>0</v>
      </c>
      <c r="L19" s="20">
        <f t="shared" si="0"/>
        <v>1</v>
      </c>
    </row>
    <row r="20" spans="1:12" x14ac:dyDescent="0.3">
      <c r="A20" s="6" t="s">
        <v>84</v>
      </c>
      <c r="B20" s="2"/>
      <c r="C20" s="20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</v>
      </c>
      <c r="K20" s="20">
        <v>0</v>
      </c>
      <c r="L20" s="20">
        <f t="shared" si="0"/>
        <v>1</v>
      </c>
    </row>
    <row r="21" spans="1:12" x14ac:dyDescent="0.3">
      <c r="A21" s="6" t="s">
        <v>86</v>
      </c>
      <c r="B21" s="2"/>
      <c r="C21" s="20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20">
        <v>0</v>
      </c>
      <c r="L21" s="20">
        <f t="shared" si="0"/>
        <v>1</v>
      </c>
    </row>
    <row r="22" spans="1:12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3">
      <c r="A23" s="15" t="s">
        <v>129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3">
      <c r="A24" s="6" t="s">
        <v>60</v>
      </c>
      <c r="B24" s="31">
        <f>Orçamento!I5</f>
        <v>3150.5120000000002</v>
      </c>
      <c r="C24" s="9">
        <f t="shared" ref="C24:K24" si="1">$B24*C8</f>
        <v>0</v>
      </c>
      <c r="D24" s="9">
        <f t="shared" si="1"/>
        <v>3150.5120000000002</v>
      </c>
      <c r="E24" s="9">
        <f t="shared" si="1"/>
        <v>0</v>
      </c>
      <c r="F24" s="9">
        <f t="shared" si="1"/>
        <v>0</v>
      </c>
      <c r="G24" s="9">
        <f t="shared" si="1"/>
        <v>0</v>
      </c>
      <c r="H24" s="9">
        <f t="shared" si="1"/>
        <v>0</v>
      </c>
      <c r="I24" s="9">
        <f t="shared" si="1"/>
        <v>0</v>
      </c>
      <c r="J24" s="9">
        <f t="shared" si="1"/>
        <v>0</v>
      </c>
      <c r="K24" s="9">
        <f t="shared" si="1"/>
        <v>0</v>
      </c>
      <c r="L24" s="9">
        <f t="shared" ref="L24:L44" si="2">SUM(C24:K24)</f>
        <v>3150.5120000000002</v>
      </c>
    </row>
    <row r="25" spans="1:12" x14ac:dyDescent="0.3">
      <c r="A25" s="6" t="s">
        <v>62</v>
      </c>
      <c r="B25" s="31">
        <f>Orçamento!I6</f>
        <v>14177.304</v>
      </c>
      <c r="C25" s="9">
        <f t="shared" ref="C25:K25" si="3">$B25*C9</f>
        <v>0</v>
      </c>
      <c r="D25" s="9">
        <f t="shared" si="3"/>
        <v>8506.3824000000004</v>
      </c>
      <c r="E25" s="9">
        <f t="shared" si="3"/>
        <v>5670.9216000000006</v>
      </c>
      <c r="F25" s="9">
        <f t="shared" si="3"/>
        <v>0</v>
      </c>
      <c r="G25" s="9">
        <f t="shared" si="3"/>
        <v>0</v>
      </c>
      <c r="H25" s="9">
        <f t="shared" si="3"/>
        <v>0</v>
      </c>
      <c r="I25" s="9">
        <f t="shared" si="3"/>
        <v>0</v>
      </c>
      <c r="J25" s="9">
        <f t="shared" si="3"/>
        <v>0</v>
      </c>
      <c r="K25" s="9">
        <f t="shared" si="3"/>
        <v>0</v>
      </c>
      <c r="L25" s="9">
        <f t="shared" si="2"/>
        <v>14177.304</v>
      </c>
    </row>
    <row r="26" spans="1:12" x14ac:dyDescent="0.3">
      <c r="A26" s="6" t="s">
        <v>64</v>
      </c>
      <c r="B26" s="31">
        <f>Orçamento!I7</f>
        <v>20478.328000000001</v>
      </c>
      <c r="C26" s="9">
        <f t="shared" ref="C26:K26" si="4">$B26*C10</f>
        <v>0</v>
      </c>
      <c r="D26" s="9">
        <f t="shared" si="4"/>
        <v>0</v>
      </c>
      <c r="E26" s="9">
        <f t="shared" si="4"/>
        <v>10239.164000000001</v>
      </c>
      <c r="F26" s="9">
        <f t="shared" si="4"/>
        <v>10239.164000000001</v>
      </c>
      <c r="G26" s="9">
        <f t="shared" si="4"/>
        <v>0</v>
      </c>
      <c r="H26" s="9">
        <f t="shared" si="4"/>
        <v>0</v>
      </c>
      <c r="I26" s="9">
        <f t="shared" si="4"/>
        <v>0</v>
      </c>
      <c r="J26" s="9">
        <f t="shared" si="4"/>
        <v>0</v>
      </c>
      <c r="K26" s="9">
        <f t="shared" si="4"/>
        <v>0</v>
      </c>
      <c r="L26" s="9">
        <f t="shared" si="2"/>
        <v>20478.328000000001</v>
      </c>
    </row>
    <row r="27" spans="1:12" x14ac:dyDescent="0.3">
      <c r="A27" s="6" t="s">
        <v>66</v>
      </c>
      <c r="B27" s="31">
        <f>Orçamento!I8</f>
        <v>14177.304</v>
      </c>
      <c r="C27" s="9">
        <f t="shared" ref="C27:K27" si="5">$B27*C11</f>
        <v>0</v>
      </c>
      <c r="D27" s="9">
        <f t="shared" si="5"/>
        <v>0</v>
      </c>
      <c r="E27" s="9">
        <f t="shared" si="5"/>
        <v>2835.4608000000003</v>
      </c>
      <c r="F27" s="9">
        <f t="shared" si="5"/>
        <v>8506.3824000000004</v>
      </c>
      <c r="G27" s="9">
        <f t="shared" si="5"/>
        <v>2835.4608000000003</v>
      </c>
      <c r="H27" s="9">
        <f t="shared" si="5"/>
        <v>0</v>
      </c>
      <c r="I27" s="9">
        <f t="shared" si="5"/>
        <v>0</v>
      </c>
      <c r="J27" s="9">
        <f t="shared" si="5"/>
        <v>0</v>
      </c>
      <c r="K27" s="9">
        <f t="shared" si="5"/>
        <v>0</v>
      </c>
      <c r="L27" s="9">
        <f t="shared" si="2"/>
        <v>14177.304000000002</v>
      </c>
    </row>
    <row r="28" spans="1:12" x14ac:dyDescent="0.3">
      <c r="A28" s="6" t="s">
        <v>68</v>
      </c>
      <c r="B28" s="31">
        <f>Orçamento!I9</f>
        <v>15102.048000000001</v>
      </c>
      <c r="C28" s="9">
        <f t="shared" ref="C28:K28" si="6">$B28*C12</f>
        <v>0</v>
      </c>
      <c r="D28" s="9">
        <f t="shared" si="6"/>
        <v>0</v>
      </c>
      <c r="E28" s="9">
        <f t="shared" si="6"/>
        <v>0</v>
      </c>
      <c r="F28" s="9">
        <f t="shared" si="6"/>
        <v>4530.6144000000004</v>
      </c>
      <c r="G28" s="9">
        <f t="shared" si="6"/>
        <v>10571.4336</v>
      </c>
      <c r="H28" s="9">
        <f t="shared" si="6"/>
        <v>0</v>
      </c>
      <c r="I28" s="9">
        <f t="shared" si="6"/>
        <v>0</v>
      </c>
      <c r="J28" s="9">
        <f t="shared" si="6"/>
        <v>0</v>
      </c>
      <c r="K28" s="9">
        <f t="shared" si="6"/>
        <v>0</v>
      </c>
      <c r="L28" s="9">
        <f t="shared" si="2"/>
        <v>15102.048000000001</v>
      </c>
    </row>
    <row r="29" spans="1:12" x14ac:dyDescent="0.3">
      <c r="A29" s="6" t="s">
        <v>70</v>
      </c>
      <c r="B29" s="31">
        <f>Orçamento!I10</f>
        <v>13202.048000000001</v>
      </c>
      <c r="C29" s="9">
        <f t="shared" ref="C29:K29" si="7">$B29*C13</f>
        <v>0</v>
      </c>
      <c r="D29" s="9">
        <f t="shared" si="7"/>
        <v>0</v>
      </c>
      <c r="E29" s="9">
        <f t="shared" si="7"/>
        <v>0</v>
      </c>
      <c r="F29" s="9">
        <f t="shared" si="7"/>
        <v>2640.4096000000004</v>
      </c>
      <c r="G29" s="9">
        <f t="shared" si="7"/>
        <v>3960.6143999999999</v>
      </c>
      <c r="H29" s="9">
        <f t="shared" si="7"/>
        <v>3960.6143999999999</v>
      </c>
      <c r="I29" s="9">
        <f t="shared" si="7"/>
        <v>2640.4096000000004</v>
      </c>
      <c r="J29" s="9">
        <f t="shared" si="7"/>
        <v>0</v>
      </c>
      <c r="K29" s="9">
        <f t="shared" si="7"/>
        <v>0</v>
      </c>
      <c r="L29" s="9">
        <f t="shared" si="2"/>
        <v>13202.048000000001</v>
      </c>
    </row>
    <row r="30" spans="1:12" x14ac:dyDescent="0.3">
      <c r="A30" s="6" t="s">
        <v>72</v>
      </c>
      <c r="B30" s="31">
        <f>Orçamento!I11</f>
        <v>11026.792000000001</v>
      </c>
      <c r="C30" s="9">
        <f t="shared" ref="C30:K30" si="8">$B30*C14</f>
        <v>0</v>
      </c>
      <c r="D30" s="9">
        <f t="shared" si="8"/>
        <v>0</v>
      </c>
      <c r="E30" s="9">
        <f t="shared" si="8"/>
        <v>0</v>
      </c>
      <c r="F30" s="9">
        <f t="shared" si="8"/>
        <v>0</v>
      </c>
      <c r="G30" s="9">
        <f t="shared" si="8"/>
        <v>3308.0376000000001</v>
      </c>
      <c r="H30" s="9">
        <f t="shared" si="8"/>
        <v>4410.7168000000011</v>
      </c>
      <c r="I30" s="9">
        <f t="shared" si="8"/>
        <v>3308.0376000000001</v>
      </c>
      <c r="J30" s="9">
        <f t="shared" si="8"/>
        <v>0</v>
      </c>
      <c r="K30" s="9">
        <f t="shared" si="8"/>
        <v>0</v>
      </c>
      <c r="L30" s="9">
        <f t="shared" si="2"/>
        <v>11026.792000000001</v>
      </c>
    </row>
    <row r="31" spans="1:12" x14ac:dyDescent="0.3">
      <c r="A31" s="6" t="s">
        <v>74</v>
      </c>
      <c r="B31" s="31">
        <f>Orçamento!I12</f>
        <v>45502.048000000003</v>
      </c>
      <c r="C31" s="9">
        <f t="shared" ref="C31:K31" si="9">$B31*C15</f>
        <v>0</v>
      </c>
      <c r="D31" s="9">
        <f t="shared" si="9"/>
        <v>0</v>
      </c>
      <c r="E31" s="9">
        <f t="shared" si="9"/>
        <v>0</v>
      </c>
      <c r="F31" s="9">
        <f t="shared" si="9"/>
        <v>0</v>
      </c>
      <c r="G31" s="9">
        <f t="shared" si="9"/>
        <v>0</v>
      </c>
      <c r="H31" s="9">
        <f t="shared" si="9"/>
        <v>18200.819200000002</v>
      </c>
      <c r="I31" s="9">
        <f t="shared" si="9"/>
        <v>18200.819200000002</v>
      </c>
      <c r="J31" s="9">
        <f t="shared" si="9"/>
        <v>9100.4096000000009</v>
      </c>
      <c r="K31" s="9">
        <f t="shared" si="9"/>
        <v>0</v>
      </c>
      <c r="L31" s="9">
        <f t="shared" si="2"/>
        <v>45502.048000000003</v>
      </c>
    </row>
    <row r="32" spans="1:12" x14ac:dyDescent="0.3">
      <c r="A32" s="6" t="s">
        <v>76</v>
      </c>
      <c r="B32" s="31">
        <f>Orçamento!I13</f>
        <v>15327.816000000003</v>
      </c>
      <c r="C32" s="9">
        <f t="shared" ref="C32:K32" si="10">$B32*C16</f>
        <v>0</v>
      </c>
      <c r="D32" s="9">
        <f t="shared" si="10"/>
        <v>0</v>
      </c>
      <c r="E32" s="9">
        <f t="shared" si="10"/>
        <v>0</v>
      </c>
      <c r="F32" s="9">
        <f t="shared" si="10"/>
        <v>0</v>
      </c>
      <c r="G32" s="9">
        <f t="shared" si="10"/>
        <v>3065.5632000000005</v>
      </c>
      <c r="H32" s="9">
        <f t="shared" si="10"/>
        <v>7663.9080000000013</v>
      </c>
      <c r="I32" s="9">
        <f t="shared" si="10"/>
        <v>4598.3448000000008</v>
      </c>
      <c r="J32" s="9">
        <f t="shared" si="10"/>
        <v>0</v>
      </c>
      <c r="K32" s="9">
        <f t="shared" si="10"/>
        <v>0</v>
      </c>
      <c r="L32" s="9">
        <f t="shared" si="2"/>
        <v>15327.816000000003</v>
      </c>
    </row>
    <row r="33" spans="1:12" x14ac:dyDescent="0.3">
      <c r="A33" s="6" t="s">
        <v>78</v>
      </c>
      <c r="B33" s="31">
        <f>Orçamento!I14</f>
        <v>19177.304</v>
      </c>
      <c r="C33" s="9">
        <f t="shared" ref="C33:K33" si="11">$B33*C17</f>
        <v>0</v>
      </c>
      <c r="D33" s="9">
        <f t="shared" si="11"/>
        <v>0</v>
      </c>
      <c r="E33" s="9">
        <f t="shared" si="11"/>
        <v>0</v>
      </c>
      <c r="F33" s="9">
        <f t="shared" si="11"/>
        <v>0</v>
      </c>
      <c r="G33" s="9">
        <f t="shared" si="11"/>
        <v>0</v>
      </c>
      <c r="H33" s="9">
        <f t="shared" si="11"/>
        <v>5753.1912000000002</v>
      </c>
      <c r="I33" s="9">
        <f t="shared" si="11"/>
        <v>9588.652</v>
      </c>
      <c r="J33" s="9">
        <f t="shared" si="11"/>
        <v>3835.4608000000003</v>
      </c>
      <c r="K33" s="9">
        <f t="shared" si="11"/>
        <v>0</v>
      </c>
      <c r="L33" s="9">
        <f t="shared" si="2"/>
        <v>19177.304</v>
      </c>
    </row>
    <row r="34" spans="1:12" x14ac:dyDescent="0.3">
      <c r="A34" s="6" t="s">
        <v>80</v>
      </c>
      <c r="B34" s="31">
        <f>Orçamento!I15</f>
        <v>11026.792000000001</v>
      </c>
      <c r="C34" s="9">
        <f t="shared" ref="C34:K34" si="12">$B34*C18</f>
        <v>0</v>
      </c>
      <c r="D34" s="9">
        <f t="shared" si="12"/>
        <v>0</v>
      </c>
      <c r="E34" s="9">
        <f t="shared" si="12"/>
        <v>0</v>
      </c>
      <c r="F34" s="9">
        <f t="shared" si="12"/>
        <v>0</v>
      </c>
      <c r="G34" s="9">
        <f t="shared" si="12"/>
        <v>0</v>
      </c>
      <c r="H34" s="9">
        <f t="shared" si="12"/>
        <v>0</v>
      </c>
      <c r="I34" s="9">
        <f t="shared" si="12"/>
        <v>4410.7168000000011</v>
      </c>
      <c r="J34" s="9">
        <f t="shared" si="12"/>
        <v>6616.0752000000002</v>
      </c>
      <c r="K34" s="9">
        <f t="shared" si="12"/>
        <v>0</v>
      </c>
      <c r="L34" s="9">
        <f t="shared" si="2"/>
        <v>11026.792000000001</v>
      </c>
    </row>
    <row r="35" spans="1:12" x14ac:dyDescent="0.3">
      <c r="A35" s="6" t="s">
        <v>82</v>
      </c>
      <c r="B35" s="31">
        <f>Orçamento!I16</f>
        <v>7876.2800000000007</v>
      </c>
      <c r="C35" s="9">
        <f t="shared" ref="C35:K35" si="13">$B35*C19</f>
        <v>0</v>
      </c>
      <c r="D35" s="9">
        <f t="shared" si="13"/>
        <v>0</v>
      </c>
      <c r="E35" s="9">
        <f t="shared" si="13"/>
        <v>0</v>
      </c>
      <c r="F35" s="9">
        <f t="shared" si="13"/>
        <v>0</v>
      </c>
      <c r="G35" s="9">
        <f t="shared" si="13"/>
        <v>0</v>
      </c>
      <c r="H35" s="9">
        <f t="shared" si="13"/>
        <v>0</v>
      </c>
      <c r="I35" s="9">
        <f t="shared" si="13"/>
        <v>2362.884</v>
      </c>
      <c r="J35" s="9">
        <f t="shared" si="13"/>
        <v>5513.3959999999997</v>
      </c>
      <c r="K35" s="9">
        <f t="shared" si="13"/>
        <v>0</v>
      </c>
      <c r="L35" s="9">
        <f t="shared" si="2"/>
        <v>7876.28</v>
      </c>
    </row>
    <row r="36" spans="1:12" x14ac:dyDescent="0.3">
      <c r="A36" s="6" t="s">
        <v>84</v>
      </c>
      <c r="B36" s="31">
        <f>Orçamento!I17</f>
        <v>48150.512000000002</v>
      </c>
      <c r="C36" s="9">
        <f t="shared" ref="C36:K36" si="14">$B36*C20</f>
        <v>0</v>
      </c>
      <c r="D36" s="9">
        <f t="shared" si="14"/>
        <v>0</v>
      </c>
      <c r="E36" s="9">
        <f t="shared" si="14"/>
        <v>0</v>
      </c>
      <c r="F36" s="9">
        <f t="shared" si="14"/>
        <v>0</v>
      </c>
      <c r="G36" s="9">
        <f t="shared" si="14"/>
        <v>0</v>
      </c>
      <c r="H36" s="9">
        <f t="shared" si="14"/>
        <v>0</v>
      </c>
      <c r="I36" s="9">
        <f t="shared" si="14"/>
        <v>0</v>
      </c>
      <c r="J36" s="9">
        <f t="shared" si="14"/>
        <v>48150.512000000002</v>
      </c>
      <c r="K36" s="9">
        <f t="shared" si="14"/>
        <v>0</v>
      </c>
      <c r="L36" s="9">
        <f t="shared" si="2"/>
        <v>48150.512000000002</v>
      </c>
    </row>
    <row r="37" spans="1:12" x14ac:dyDescent="0.3">
      <c r="A37" s="6" t="s">
        <v>86</v>
      </c>
      <c r="B37" s="31">
        <f>Orçamento!I18</f>
        <v>3150.5120000000002</v>
      </c>
      <c r="C37" s="9">
        <f t="shared" ref="C37:K37" si="15">$B37*C21</f>
        <v>0</v>
      </c>
      <c r="D37" s="9">
        <f t="shared" si="15"/>
        <v>0</v>
      </c>
      <c r="E37" s="9">
        <f t="shared" si="15"/>
        <v>0</v>
      </c>
      <c r="F37" s="9">
        <f t="shared" si="15"/>
        <v>0</v>
      </c>
      <c r="G37" s="9">
        <f t="shared" si="15"/>
        <v>0</v>
      </c>
      <c r="H37" s="9">
        <f t="shared" si="15"/>
        <v>0</v>
      </c>
      <c r="I37" s="9">
        <f t="shared" si="15"/>
        <v>0</v>
      </c>
      <c r="J37" s="9">
        <f t="shared" si="15"/>
        <v>3150.5120000000002</v>
      </c>
      <c r="K37" s="9">
        <f t="shared" si="15"/>
        <v>0</v>
      </c>
      <c r="L37" s="9">
        <f t="shared" si="2"/>
        <v>3150.5120000000002</v>
      </c>
    </row>
    <row r="38" spans="1:12" x14ac:dyDescent="0.3">
      <c r="A38" s="6" t="s">
        <v>96</v>
      </c>
      <c r="B38" s="31">
        <f>Orçamento!I23</f>
        <v>8000</v>
      </c>
      <c r="C38" s="9">
        <f>$B38/1</f>
        <v>8000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2"/>
        <v>8000</v>
      </c>
    </row>
    <row r="39" spans="1:12" x14ac:dyDescent="0.3">
      <c r="A39" s="6" t="s">
        <v>99</v>
      </c>
      <c r="B39" s="31">
        <f>Orçamento!I24</f>
        <v>600</v>
      </c>
      <c r="C39" s="9">
        <f>$B39/1</f>
        <v>600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f t="shared" si="2"/>
        <v>600</v>
      </c>
    </row>
    <row r="40" spans="1:12" x14ac:dyDescent="0.3">
      <c r="A40" s="6" t="s">
        <v>101</v>
      </c>
      <c r="B40" s="31">
        <f>Orçamento!I25</f>
        <v>1500</v>
      </c>
      <c r="C40" s="9">
        <f>$B40/1</f>
        <v>1500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f t="shared" si="2"/>
        <v>1500</v>
      </c>
    </row>
    <row r="41" spans="1:12" x14ac:dyDescent="0.3">
      <c r="A41" s="6" t="s">
        <v>103</v>
      </c>
      <c r="B41" s="31">
        <f>Orçamento!I26</f>
        <v>2500</v>
      </c>
      <c r="C41" s="9">
        <v>0</v>
      </c>
      <c r="D41" s="9">
        <f>$B41/1</f>
        <v>2500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2"/>
        <v>2500</v>
      </c>
    </row>
    <row r="42" spans="1:12" x14ac:dyDescent="0.3">
      <c r="A42" s="6" t="s">
        <v>106</v>
      </c>
      <c r="B42" s="31">
        <f>Orçamento!I27</f>
        <v>15000</v>
      </c>
      <c r="C42" s="9">
        <v>0</v>
      </c>
      <c r="D42" s="9">
        <f>$B42/2</f>
        <v>7500</v>
      </c>
      <c r="E42" s="9">
        <f>$B42/2</f>
        <v>7500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f t="shared" si="2"/>
        <v>15000</v>
      </c>
    </row>
    <row r="43" spans="1:12" x14ac:dyDescent="0.3">
      <c r="A43" s="6" t="s">
        <v>109</v>
      </c>
      <c r="B43" s="31">
        <f>Orçamento!I28</f>
        <v>6000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f>$B43/1</f>
        <v>6000</v>
      </c>
      <c r="L43" s="9">
        <f t="shared" si="2"/>
        <v>6000</v>
      </c>
    </row>
    <row r="44" spans="1:12" x14ac:dyDescent="0.3">
      <c r="A44" s="6" t="s">
        <v>112</v>
      </c>
      <c r="B44" s="31">
        <f>Orçamento!I29</f>
        <v>1500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f>$B44/1</f>
        <v>1500</v>
      </c>
      <c r="L44" s="9">
        <f t="shared" si="2"/>
        <v>1500</v>
      </c>
    </row>
    <row r="45" spans="1:1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3">
      <c r="A46" s="22" t="s">
        <v>130</v>
      </c>
      <c r="B46" s="21"/>
      <c r="C46" s="32">
        <f t="shared" ref="C46:K46" si="16">SUM(C24:C44)</f>
        <v>10100</v>
      </c>
      <c r="D46" s="32">
        <f t="shared" si="16"/>
        <v>21656.894400000001</v>
      </c>
      <c r="E46" s="32">
        <f t="shared" si="16"/>
        <v>26245.546400000003</v>
      </c>
      <c r="F46" s="32">
        <f t="shared" si="16"/>
        <v>25916.570399999997</v>
      </c>
      <c r="G46" s="32">
        <f t="shared" si="16"/>
        <v>23741.1096</v>
      </c>
      <c r="H46" s="32">
        <f t="shared" si="16"/>
        <v>39989.249600000003</v>
      </c>
      <c r="I46" s="32">
        <f t="shared" si="16"/>
        <v>45109.864000000001</v>
      </c>
      <c r="J46" s="32">
        <f t="shared" si="16"/>
        <v>76366.365600000005</v>
      </c>
      <c r="K46" s="32">
        <f t="shared" si="16"/>
        <v>7500</v>
      </c>
      <c r="L46" s="32">
        <f>SUM(C46:K46)</f>
        <v>276625.60000000003</v>
      </c>
    </row>
    <row r="47" spans="1:12" x14ac:dyDescent="0.3">
      <c r="A47" s="22" t="s">
        <v>131</v>
      </c>
      <c r="B47" s="21"/>
      <c r="C47" s="32">
        <v>0</v>
      </c>
      <c r="D47" s="32">
        <f>-D46*Premissas!$B$9</f>
        <v>-1082.8447200000001</v>
      </c>
      <c r="E47" s="32">
        <f>-E46*Premissas!$B$9</f>
        <v>-1312.2773200000001</v>
      </c>
      <c r="F47" s="32">
        <f>-F46*Premissas!$B$9</f>
        <v>-1295.82852</v>
      </c>
      <c r="G47" s="32">
        <f>-G46*Premissas!$B$9</f>
        <v>-1187.05548</v>
      </c>
      <c r="H47" s="32">
        <f>-H46*Premissas!$B$9</f>
        <v>-1999.4624800000001</v>
      </c>
      <c r="I47" s="32">
        <f>-I46*Premissas!$B$9</f>
        <v>-2255.4932000000003</v>
      </c>
      <c r="J47" s="32">
        <f>-J46*Premissas!$B$9</f>
        <v>-3818.3182800000004</v>
      </c>
      <c r="K47" s="32">
        <v>0</v>
      </c>
      <c r="L47" s="21"/>
    </row>
    <row r="48" spans="1:12" x14ac:dyDescent="0.3">
      <c r="A48" s="22" t="s">
        <v>132</v>
      </c>
      <c r="B48" s="21"/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f>-SUM($D$47:$J$47)</f>
        <v>12951.280000000002</v>
      </c>
      <c r="L48" s="21"/>
    </row>
    <row r="49" spans="1:12" x14ac:dyDescent="0.3">
      <c r="A49" s="22" t="s">
        <v>133</v>
      </c>
      <c r="B49" s="21"/>
      <c r="C49" s="32">
        <f t="shared" ref="C49:K49" si="17">C46+C47+C48</f>
        <v>10100</v>
      </c>
      <c r="D49" s="32">
        <f t="shared" si="17"/>
        <v>20574.04968</v>
      </c>
      <c r="E49" s="32">
        <f t="shared" si="17"/>
        <v>24933.269080000002</v>
      </c>
      <c r="F49" s="32">
        <f t="shared" si="17"/>
        <v>24620.741879999998</v>
      </c>
      <c r="G49" s="32">
        <f t="shared" si="17"/>
        <v>22554.054120000001</v>
      </c>
      <c r="H49" s="32">
        <f t="shared" si="17"/>
        <v>37989.787120000001</v>
      </c>
      <c r="I49" s="32">
        <f t="shared" si="17"/>
        <v>42854.370800000004</v>
      </c>
      <c r="J49" s="32">
        <f t="shared" si="17"/>
        <v>72548.047319999998</v>
      </c>
      <c r="K49" s="32">
        <f t="shared" si="17"/>
        <v>20451.280000000002</v>
      </c>
      <c r="L49" s="32">
        <f>SUM(C49:K49)</f>
        <v>276625.60000000003</v>
      </c>
    </row>
    <row r="50" spans="1:12" x14ac:dyDescent="0.3">
      <c r="A50" s="22" t="s">
        <v>134</v>
      </c>
      <c r="B50" s="21"/>
      <c r="C50" s="32">
        <f>C49</f>
        <v>10100</v>
      </c>
      <c r="D50" s="32">
        <f t="shared" ref="D50:K50" si="18">C50+D49</f>
        <v>30674.04968</v>
      </c>
      <c r="E50" s="32">
        <f t="shared" si="18"/>
        <v>55607.318760000002</v>
      </c>
      <c r="F50" s="32">
        <f t="shared" si="18"/>
        <v>80228.060639999996</v>
      </c>
      <c r="G50" s="32">
        <f t="shared" si="18"/>
        <v>102782.11476</v>
      </c>
      <c r="H50" s="32">
        <f t="shared" si="18"/>
        <v>140771.90187999999</v>
      </c>
      <c r="I50" s="32">
        <f t="shared" si="18"/>
        <v>183626.27267999999</v>
      </c>
      <c r="J50" s="32">
        <f t="shared" si="18"/>
        <v>256174.32</v>
      </c>
      <c r="K50" s="32">
        <f t="shared" si="18"/>
        <v>276625.60000000003</v>
      </c>
      <c r="L50" s="21"/>
    </row>
    <row r="51" spans="1:12" x14ac:dyDescent="0.3">
      <c r="A51" s="22" t="s">
        <v>135</v>
      </c>
      <c r="B51" s="21"/>
      <c r="C51" s="24">
        <f t="shared" ref="C51:K51" si="19">IF($L$46=0,0,C50/$L$46)</f>
        <v>3.6511443626331033E-2</v>
      </c>
      <c r="D51" s="24">
        <f t="shared" si="19"/>
        <v>0.1108865183844156</v>
      </c>
      <c r="E51" s="24">
        <f t="shared" si="19"/>
        <v>0.20102014694229312</v>
      </c>
      <c r="F51" s="24">
        <f t="shared" si="19"/>
        <v>0.29002399141655721</v>
      </c>
      <c r="G51" s="24">
        <f t="shared" si="19"/>
        <v>0.37155677117374525</v>
      </c>
      <c r="H51" s="24">
        <f t="shared" si="19"/>
        <v>0.50888963957059641</v>
      </c>
      <c r="I51" s="24">
        <f t="shared" si="19"/>
        <v>0.66380795081872379</v>
      </c>
      <c r="J51" s="24">
        <f t="shared" si="19"/>
        <v>0.92606873694987002</v>
      </c>
      <c r="K51" s="24">
        <f t="shared" si="19"/>
        <v>1</v>
      </c>
      <c r="L51" s="21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17" t="s">
        <v>136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15" t="str">
        <f>IF(ABS(L46-(Orçamento!I19+Orçamento!I30))&lt;1,"OK","CONFERIR")</f>
        <v>OK</v>
      </c>
    </row>
    <row r="54" spans="1:12" x14ac:dyDescent="0.3">
      <c r="A54" s="17" t="s">
        <v>137</v>
      </c>
      <c r="B54" s="31">
        <f>Orçamento!I20</f>
        <v>24152.559999999998</v>
      </c>
      <c r="C54" s="2"/>
      <c r="D54" s="2"/>
      <c r="E54" s="2"/>
      <c r="F54" s="2"/>
      <c r="G54" s="2"/>
      <c r="H54" s="2"/>
      <c r="I54" s="2"/>
      <c r="J54" s="2"/>
      <c r="K54" s="2"/>
      <c r="L54" s="2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showGridLines="0" workbookViewId="0"/>
  </sheetViews>
  <sheetFormatPr defaultRowHeight="14.4" x14ac:dyDescent="0.3"/>
  <cols>
    <col min="1" max="1" width="16" customWidth="1"/>
    <col min="2" max="2" width="58" customWidth="1"/>
    <col min="3" max="3" width="28" customWidth="1"/>
    <col min="4" max="4" width="14" customWidth="1"/>
    <col min="5" max="5" width="32" customWidth="1"/>
  </cols>
  <sheetData>
    <row r="1" spans="1:5" ht="17.399999999999999" x14ac:dyDescent="0.3">
      <c r="A1" s="1" t="s">
        <v>138</v>
      </c>
      <c r="B1" s="2"/>
      <c r="C1" s="2"/>
      <c r="D1" s="2"/>
      <c r="E1" s="2"/>
    </row>
    <row r="2" spans="1:5" x14ac:dyDescent="0.3">
      <c r="A2" s="2"/>
      <c r="B2" s="2"/>
      <c r="C2" s="2"/>
      <c r="D2" s="2"/>
      <c r="E2" s="2"/>
    </row>
    <row r="3" spans="1:5" ht="30" customHeight="1" x14ac:dyDescent="0.3">
      <c r="A3" s="5" t="s">
        <v>21</v>
      </c>
      <c r="B3" s="5" t="s">
        <v>139</v>
      </c>
      <c r="C3" s="5" t="s">
        <v>52</v>
      </c>
      <c r="D3" s="5" t="s">
        <v>95</v>
      </c>
      <c r="E3" s="5" t="s">
        <v>93</v>
      </c>
    </row>
    <row r="4" spans="1:5" x14ac:dyDescent="0.3">
      <c r="A4" s="6" t="s">
        <v>25</v>
      </c>
      <c r="B4" s="6" t="s">
        <v>140</v>
      </c>
      <c r="C4" s="6" t="s">
        <v>84</v>
      </c>
      <c r="D4" s="26">
        <v>45000</v>
      </c>
      <c r="E4" s="17" t="s">
        <v>141</v>
      </c>
    </row>
    <row r="5" spans="1:5" x14ac:dyDescent="0.3">
      <c r="A5" s="6" t="s">
        <v>25</v>
      </c>
      <c r="B5" s="6" t="s">
        <v>142</v>
      </c>
      <c r="C5" s="6" t="s">
        <v>74</v>
      </c>
      <c r="D5" s="26">
        <v>20000</v>
      </c>
      <c r="E5" s="17" t="s">
        <v>141</v>
      </c>
    </row>
    <row r="6" spans="1:5" x14ac:dyDescent="0.3">
      <c r="A6" s="6" t="s">
        <v>25</v>
      </c>
      <c r="B6" s="6" t="s">
        <v>143</v>
      </c>
      <c r="C6" s="6" t="s">
        <v>74</v>
      </c>
      <c r="D6" s="26">
        <v>12000</v>
      </c>
      <c r="E6" s="17" t="s">
        <v>141</v>
      </c>
    </row>
    <row r="7" spans="1:5" x14ac:dyDescent="0.3">
      <c r="A7" s="6" t="s">
        <v>25</v>
      </c>
      <c r="B7" s="6" t="s">
        <v>144</v>
      </c>
      <c r="C7" s="6" t="s">
        <v>78</v>
      </c>
      <c r="D7" s="26">
        <v>5000</v>
      </c>
      <c r="E7" s="17" t="s">
        <v>141</v>
      </c>
    </row>
    <row r="8" spans="1:5" x14ac:dyDescent="0.3">
      <c r="A8" s="6" t="s">
        <v>29</v>
      </c>
      <c r="B8" s="6" t="s">
        <v>145</v>
      </c>
      <c r="C8" s="6" t="s">
        <v>84</v>
      </c>
      <c r="D8" s="26">
        <v>45000</v>
      </c>
      <c r="E8" s="17" t="s">
        <v>141</v>
      </c>
    </row>
    <row r="9" spans="1:5" x14ac:dyDescent="0.3">
      <c r="A9" s="6" t="s">
        <v>29</v>
      </c>
      <c r="B9" s="6" t="s">
        <v>146</v>
      </c>
      <c r="C9" s="6" t="s">
        <v>74</v>
      </c>
      <c r="D9" s="26">
        <v>28000</v>
      </c>
      <c r="E9" s="17" t="s">
        <v>141</v>
      </c>
    </row>
    <row r="10" spans="1:5" x14ac:dyDescent="0.3">
      <c r="A10" s="6" t="s">
        <v>29</v>
      </c>
      <c r="B10" s="6" t="s">
        <v>147</v>
      </c>
      <c r="C10" s="6" t="s">
        <v>64</v>
      </c>
      <c r="D10" s="26">
        <v>8000</v>
      </c>
      <c r="E10" s="17" t="s">
        <v>141</v>
      </c>
    </row>
    <row r="11" spans="1:5" x14ac:dyDescent="0.3">
      <c r="A11" s="6" t="s">
        <v>29</v>
      </c>
      <c r="B11" s="6" t="s">
        <v>148</v>
      </c>
      <c r="C11" s="6" t="s">
        <v>78</v>
      </c>
      <c r="D11" s="26">
        <v>4000</v>
      </c>
      <c r="E11" s="17" t="s">
        <v>141</v>
      </c>
    </row>
    <row r="12" spans="1:5" x14ac:dyDescent="0.3">
      <c r="A12" s="6" t="s">
        <v>32</v>
      </c>
      <c r="B12" s="6" t="s">
        <v>149</v>
      </c>
      <c r="C12" s="6" t="s">
        <v>64</v>
      </c>
      <c r="D12" s="26">
        <v>9000</v>
      </c>
      <c r="E12" s="17" t="s">
        <v>141</v>
      </c>
    </row>
    <row r="13" spans="1:5" x14ac:dyDescent="0.3">
      <c r="A13" s="6" t="s">
        <v>32</v>
      </c>
      <c r="B13" s="6" t="s">
        <v>150</v>
      </c>
      <c r="C13" s="6" t="s">
        <v>74</v>
      </c>
      <c r="D13" s="26">
        <v>10000</v>
      </c>
      <c r="E13" s="17" t="s">
        <v>141</v>
      </c>
    </row>
    <row r="14" spans="1:5" x14ac:dyDescent="0.3">
      <c r="A14" s="6" t="s">
        <v>32</v>
      </c>
      <c r="B14" s="6" t="s">
        <v>151</v>
      </c>
      <c r="C14" s="6" t="s">
        <v>76</v>
      </c>
      <c r="D14" s="26">
        <v>6000</v>
      </c>
      <c r="E14" s="17" t="s">
        <v>141</v>
      </c>
    </row>
    <row r="15" spans="1:5" x14ac:dyDescent="0.3">
      <c r="A15" s="6" t="s">
        <v>35</v>
      </c>
      <c r="B15" s="6" t="s">
        <v>152</v>
      </c>
      <c r="C15" s="6" t="s">
        <v>68</v>
      </c>
      <c r="D15" s="26">
        <v>7000</v>
      </c>
      <c r="E15" s="17" t="s">
        <v>141</v>
      </c>
    </row>
    <row r="16" spans="1:5" x14ac:dyDescent="0.3">
      <c r="A16" s="6" t="s">
        <v>35</v>
      </c>
      <c r="B16" s="6" t="s">
        <v>153</v>
      </c>
      <c r="C16" s="6" t="s">
        <v>84</v>
      </c>
      <c r="D16" s="26">
        <v>3500</v>
      </c>
      <c r="E16" s="17" t="s">
        <v>141</v>
      </c>
    </row>
    <row r="17" spans="1:5" x14ac:dyDescent="0.3">
      <c r="A17" s="6" t="s">
        <v>35</v>
      </c>
      <c r="B17" s="6" t="s">
        <v>154</v>
      </c>
      <c r="C17" s="6" t="s">
        <v>76</v>
      </c>
      <c r="D17" s="26">
        <v>2500</v>
      </c>
      <c r="E17" s="17" t="s">
        <v>141</v>
      </c>
    </row>
    <row r="18" spans="1:5" x14ac:dyDescent="0.3">
      <c r="A18" s="6" t="s">
        <v>41</v>
      </c>
      <c r="B18" s="6" t="s">
        <v>155</v>
      </c>
      <c r="C18" s="6" t="s">
        <v>64</v>
      </c>
      <c r="D18" s="26">
        <v>3500</v>
      </c>
      <c r="E18" s="17" t="s">
        <v>141</v>
      </c>
    </row>
    <row r="19" spans="1:5" x14ac:dyDescent="0.3">
      <c r="A19" s="6" t="s">
        <v>41</v>
      </c>
      <c r="B19" s="6" t="s">
        <v>156</v>
      </c>
      <c r="C19" s="6" t="s">
        <v>76</v>
      </c>
      <c r="D19" s="26">
        <v>5000</v>
      </c>
      <c r="E19" s="17" t="s">
        <v>141</v>
      </c>
    </row>
    <row r="20" spans="1:5" x14ac:dyDescent="0.3">
      <c r="A20" s="6" t="s">
        <v>41</v>
      </c>
      <c r="B20" s="6" t="s">
        <v>157</v>
      </c>
      <c r="C20" s="6" t="s">
        <v>84</v>
      </c>
      <c r="D20" s="26">
        <v>1500</v>
      </c>
      <c r="E20" s="17" t="s">
        <v>141</v>
      </c>
    </row>
    <row r="21" spans="1:5" x14ac:dyDescent="0.3">
      <c r="A21" s="6" t="s">
        <v>44</v>
      </c>
      <c r="B21" s="6" t="s">
        <v>158</v>
      </c>
      <c r="C21" s="6" t="s">
        <v>76</v>
      </c>
      <c r="D21" s="26">
        <v>-9000</v>
      </c>
      <c r="E21" s="17" t="s">
        <v>141</v>
      </c>
    </row>
    <row r="22" spans="1:5" x14ac:dyDescent="0.3">
      <c r="A22" s="6" t="s">
        <v>44</v>
      </c>
      <c r="B22" s="6" t="s">
        <v>159</v>
      </c>
      <c r="C22" s="6" t="s">
        <v>64</v>
      </c>
      <c r="D22" s="26">
        <v>-4000</v>
      </c>
      <c r="E22" s="17" t="s">
        <v>141</v>
      </c>
    </row>
    <row r="23" spans="1:5" x14ac:dyDescent="0.3">
      <c r="A23" s="6" t="s">
        <v>44</v>
      </c>
      <c r="B23" s="6" t="s">
        <v>160</v>
      </c>
      <c r="C23" s="6" t="s">
        <v>70</v>
      </c>
      <c r="D23" s="26">
        <v>4500</v>
      </c>
      <c r="E23" s="17" t="s">
        <v>141</v>
      </c>
    </row>
    <row r="24" spans="1:5" x14ac:dyDescent="0.3">
      <c r="A24" s="6" t="s">
        <v>44</v>
      </c>
      <c r="B24" s="6" t="s">
        <v>161</v>
      </c>
      <c r="C24" s="6" t="s">
        <v>66</v>
      </c>
      <c r="D24" s="26">
        <v>-4000</v>
      </c>
      <c r="E24" s="17" t="s">
        <v>141</v>
      </c>
    </row>
    <row r="25" spans="1:5" x14ac:dyDescent="0.3">
      <c r="A25" s="6" t="s">
        <v>47</v>
      </c>
      <c r="B25" s="6" t="s">
        <v>162</v>
      </c>
      <c r="C25" s="6" t="s">
        <v>68</v>
      </c>
      <c r="D25" s="26">
        <v>21000</v>
      </c>
      <c r="E25" s="17" t="s">
        <v>141</v>
      </c>
    </row>
    <row r="26" spans="1:5" x14ac:dyDescent="0.3">
      <c r="A26" s="6" t="s">
        <v>47</v>
      </c>
      <c r="B26" s="6" t="s">
        <v>163</v>
      </c>
      <c r="C26" s="6" t="s">
        <v>74</v>
      </c>
      <c r="D26" s="26">
        <v>3000</v>
      </c>
      <c r="E26" s="17" t="s">
        <v>141</v>
      </c>
    </row>
    <row r="27" spans="1:5" x14ac:dyDescent="0.3">
      <c r="A27" s="6" t="s">
        <v>164</v>
      </c>
      <c r="B27" s="6" t="s">
        <v>165</v>
      </c>
      <c r="C27" s="6" t="s">
        <v>68</v>
      </c>
      <c r="D27" s="26">
        <v>2500</v>
      </c>
      <c r="E27" s="17" t="s">
        <v>141</v>
      </c>
    </row>
    <row r="28" spans="1:5" x14ac:dyDescent="0.3">
      <c r="A28" s="6" t="s">
        <v>164</v>
      </c>
      <c r="B28" s="6" t="s">
        <v>166</v>
      </c>
      <c r="C28" s="6" t="s">
        <v>74</v>
      </c>
      <c r="D28" s="26">
        <v>900</v>
      </c>
      <c r="E28" s="17" t="s">
        <v>141</v>
      </c>
    </row>
    <row r="29" spans="1:5" x14ac:dyDescent="0.3">
      <c r="A29" s="6" t="s">
        <v>164</v>
      </c>
      <c r="B29" s="6" t="s">
        <v>167</v>
      </c>
      <c r="C29" s="6" t="s">
        <v>70</v>
      </c>
      <c r="D29" s="26">
        <v>600</v>
      </c>
      <c r="E29" s="17" t="s">
        <v>141</v>
      </c>
    </row>
    <row r="30" spans="1:5" x14ac:dyDescent="0.3">
      <c r="A30" s="6" t="s">
        <v>164</v>
      </c>
      <c r="B30" s="6" t="s">
        <v>168</v>
      </c>
      <c r="C30" s="6" t="s">
        <v>76</v>
      </c>
      <c r="D30" s="26">
        <v>-2000</v>
      </c>
      <c r="E30" s="17" t="s">
        <v>141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Como usar</vt:lpstr>
      <vt:lpstr>Premissas</vt:lpstr>
      <vt:lpstr>Orçamento</vt:lpstr>
      <vt:lpstr>Cronograma</vt:lpstr>
      <vt:lpstr>Extras por estilo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GHF</cp:lastModifiedBy>
  <dcterms:created xsi:type="dcterms:W3CDTF">2026-10-16T02:43:20Z</dcterms:created>
  <dcterms:modified xsi:type="dcterms:W3CDTF">2026-10-16T02:43:31Z</dcterms:modified>
</cp:coreProperties>
</file>